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ersonal\MMM\"/>
    </mc:Choice>
  </mc:AlternateContent>
  <xr:revisionPtr revIDLastSave="0" documentId="13_ncr:1_{A8B36499-BBED-476B-94A3-28CD5D97952E}" xr6:coauthVersionLast="45" xr6:coauthVersionMax="45" xr10:uidLastSave="{00000000-0000-0000-0000-000000000000}"/>
  <bookViews>
    <workbookView xWindow="28680" yWindow="-120" windowWidth="29040" windowHeight="15840" tabRatio="596" activeTab="1" xr2:uid="{00000000-000D-0000-FFFF-FFFF00000000}"/>
  </bookViews>
  <sheets>
    <sheet name="Team Selection" sheetId="3" r:id="rId1"/>
    <sheet name="Stage Entry" sheetId="2" r:id="rId2"/>
    <sheet name="Teams by Stage" sheetId="7" r:id="rId3"/>
    <sheet name="Stage-by-Stage" sheetId="9" r:id="rId4"/>
    <sheet name="Runner Performance" sheetId="1" r:id="rId5"/>
    <sheet name="Data" sheetId="10" r:id="rId6"/>
  </sheets>
  <definedNames>
    <definedName name="Dist1">'Stage Entry'!$I$2</definedName>
    <definedName name="Dist10">'Stage Entry'!$X$13</definedName>
    <definedName name="Dist11">'Stage Entry'!$AC$13</definedName>
    <definedName name="Dist12">'Stage Entry'!$AH$13</definedName>
    <definedName name="Dist13">'Stage Entry'!$AM$13</definedName>
    <definedName name="Dist14">'Stage Entry'!$AR$13</definedName>
    <definedName name="Dist2">'Stage Entry'!$S$2</definedName>
    <definedName name="Dist3">'Stage Entry'!$X$2</definedName>
    <definedName name="Dist4">'Stage Entry'!$AC$2</definedName>
    <definedName name="Dist5">'Stage Entry'!$AH$2</definedName>
    <definedName name="Dist6">'Stage Entry'!$AM$2</definedName>
    <definedName name="Dist7">'Stage Entry'!$AR$2</definedName>
    <definedName name="Dist8">'Stage Entry'!$I$13</definedName>
    <definedName name="Dist9">'Stage Entry'!$S$13</definedName>
    <definedName name="_xlnm.Print_Area" localSheetId="1">'Stage Entry'!$A$1:$AY$21</definedName>
    <definedName name="_xlnm.Print_Area" localSheetId="0">'Team Selection'!$B$1:$J$10</definedName>
    <definedName name="_xlnm.Print_Titles" localSheetId="1">'Stage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Selection'!$D$8:$J$8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6" i="2" l="1"/>
  <c r="K10" i="3"/>
  <c r="A11" i="7"/>
  <c r="AY21" i="7" s="1"/>
  <c r="B11" i="7"/>
  <c r="C11" i="7"/>
  <c r="D11" i="7" s="1"/>
  <c r="E11" i="7"/>
  <c r="F11" i="7"/>
  <c r="H11" i="7"/>
  <c r="I11" i="7"/>
  <c r="K11" i="7"/>
  <c r="L11" i="7"/>
  <c r="N11" i="7"/>
  <c r="O11" i="7"/>
  <c r="Q11" i="7"/>
  <c r="R11" i="7"/>
  <c r="T11" i="7"/>
  <c r="U11" i="7"/>
  <c r="W11" i="7"/>
  <c r="X11" i="7"/>
  <c r="Z11" i="7"/>
  <c r="AA11" i="7"/>
  <c r="AC11" i="7"/>
  <c r="AD11" i="7"/>
  <c r="AF11" i="7"/>
  <c r="AG11" i="7"/>
  <c r="AI11" i="7"/>
  <c r="AJ11" i="7"/>
  <c r="AL11" i="7"/>
  <c r="AM11" i="7"/>
  <c r="AO11" i="7"/>
  <c r="AP11" i="7"/>
  <c r="AR11" i="7"/>
  <c r="AS11" i="7"/>
  <c r="AU11" i="7"/>
  <c r="AV11" i="7"/>
  <c r="D10" i="3"/>
  <c r="F10" i="3"/>
  <c r="H10" i="3"/>
  <c r="J10" i="3"/>
  <c r="J46" i="3"/>
  <c r="J47" i="3"/>
  <c r="J48" i="3"/>
  <c r="J49" i="3"/>
  <c r="G11" i="7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14" i="3"/>
  <c r="G123" i="10"/>
  <c r="G124" i="10"/>
  <c r="G125" i="10"/>
  <c r="G126" i="10"/>
  <c r="G127" i="10"/>
  <c r="G128" i="10"/>
  <c r="G129" i="10"/>
  <c r="G122" i="10"/>
  <c r="G115" i="10"/>
  <c r="G116" i="10"/>
  <c r="G117" i="10"/>
  <c r="G118" i="10"/>
  <c r="G119" i="10"/>
  <c r="G120" i="10"/>
  <c r="G121" i="10"/>
  <c r="G114" i="10"/>
  <c r="G107" i="10"/>
  <c r="G108" i="10"/>
  <c r="G109" i="10"/>
  <c r="G110" i="10"/>
  <c r="G111" i="10"/>
  <c r="G112" i="10"/>
  <c r="G113" i="10"/>
  <c r="G106" i="10"/>
  <c r="G99" i="10"/>
  <c r="G100" i="10"/>
  <c r="G101" i="10"/>
  <c r="G102" i="10"/>
  <c r="G103" i="10"/>
  <c r="G104" i="10"/>
  <c r="G105" i="10"/>
  <c r="G98" i="10"/>
  <c r="G91" i="10"/>
  <c r="G92" i="10"/>
  <c r="G93" i="10"/>
  <c r="G94" i="10"/>
  <c r="G95" i="10"/>
  <c r="G96" i="10"/>
  <c r="G97" i="10"/>
  <c r="G90" i="10"/>
  <c r="G83" i="10"/>
  <c r="G84" i="10"/>
  <c r="G85" i="10"/>
  <c r="G86" i="10"/>
  <c r="G87" i="10"/>
  <c r="G88" i="10"/>
  <c r="G89" i="10"/>
  <c r="G82" i="10"/>
  <c r="G75" i="10"/>
  <c r="G76" i="10"/>
  <c r="G77" i="10"/>
  <c r="G78" i="10"/>
  <c r="G79" i="10"/>
  <c r="G80" i="10"/>
  <c r="G81" i="10"/>
  <c r="G74" i="10"/>
  <c r="G67" i="10"/>
  <c r="G68" i="10"/>
  <c r="G69" i="10"/>
  <c r="G70" i="10"/>
  <c r="G71" i="10"/>
  <c r="G72" i="10"/>
  <c r="G73" i="10"/>
  <c r="G66" i="10"/>
  <c r="G59" i="10"/>
  <c r="G60" i="10"/>
  <c r="G61" i="10"/>
  <c r="G62" i="10"/>
  <c r="G63" i="10"/>
  <c r="G64" i="10"/>
  <c r="G65" i="10"/>
  <c r="G58" i="10"/>
  <c r="G51" i="10"/>
  <c r="G52" i="10"/>
  <c r="G53" i="10"/>
  <c r="G54" i="10"/>
  <c r="G55" i="10"/>
  <c r="G56" i="10"/>
  <c r="G57" i="10"/>
  <c r="G50" i="10"/>
  <c r="G43" i="10"/>
  <c r="G44" i="10"/>
  <c r="G45" i="10"/>
  <c r="G46" i="10"/>
  <c r="G47" i="10"/>
  <c r="G48" i="10"/>
  <c r="G49" i="10"/>
  <c r="G42" i="10"/>
  <c r="G35" i="10"/>
  <c r="G36" i="10"/>
  <c r="G37" i="10"/>
  <c r="G38" i="10"/>
  <c r="G39" i="10"/>
  <c r="G40" i="10"/>
  <c r="G41" i="10"/>
  <c r="G34" i="10"/>
  <c r="X2" i="2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H80" i="2"/>
  <c r="H81" i="2"/>
  <c r="H82" i="2"/>
  <c r="H83" i="2"/>
  <c r="H84" i="2"/>
  <c r="H85" i="2"/>
  <c r="H86" i="2"/>
  <c r="H79" i="2"/>
  <c r="H72" i="2"/>
  <c r="H73" i="2"/>
  <c r="H74" i="2"/>
  <c r="H75" i="2"/>
  <c r="H76" i="2"/>
  <c r="H77" i="2"/>
  <c r="H78" i="2"/>
  <c r="H71" i="2"/>
  <c r="H64" i="2"/>
  <c r="H65" i="2"/>
  <c r="H66" i="2"/>
  <c r="H67" i="2"/>
  <c r="H68" i="2"/>
  <c r="H69" i="2"/>
  <c r="H70" i="2"/>
  <c r="H63" i="2"/>
  <c r="H56" i="2"/>
  <c r="H57" i="2"/>
  <c r="H58" i="2"/>
  <c r="H59" i="2"/>
  <c r="H60" i="2"/>
  <c r="H61" i="2"/>
  <c r="H62" i="2"/>
  <c r="AD8" i="2"/>
  <c r="E123" i="10"/>
  <c r="E124" i="10"/>
  <c r="E125" i="10"/>
  <c r="E126" i="10"/>
  <c r="E127" i="10"/>
  <c r="E128" i="10"/>
  <c r="E129" i="10"/>
  <c r="E122" i="10"/>
  <c r="E115" i="10"/>
  <c r="E116" i="10"/>
  <c r="E117" i="10"/>
  <c r="E118" i="10"/>
  <c r="E119" i="10"/>
  <c r="E120" i="10"/>
  <c r="E121" i="10"/>
  <c r="E114" i="10"/>
  <c r="E107" i="10"/>
  <c r="E108" i="10"/>
  <c r="E109" i="10"/>
  <c r="E110" i="10"/>
  <c r="E111" i="10"/>
  <c r="E112" i="10"/>
  <c r="E113" i="10"/>
  <c r="E106" i="10"/>
  <c r="E99" i="10"/>
  <c r="E100" i="10"/>
  <c r="E101" i="10"/>
  <c r="E102" i="10"/>
  <c r="E103" i="10"/>
  <c r="E104" i="10"/>
  <c r="E105" i="10"/>
  <c r="E98" i="10"/>
  <c r="E91" i="10"/>
  <c r="E92" i="10"/>
  <c r="E93" i="10"/>
  <c r="E94" i="10"/>
  <c r="E95" i="10"/>
  <c r="E96" i="10"/>
  <c r="E97" i="10"/>
  <c r="E90" i="10"/>
  <c r="E83" i="10"/>
  <c r="E84" i="10"/>
  <c r="E85" i="10"/>
  <c r="E86" i="10"/>
  <c r="E87" i="10"/>
  <c r="E88" i="10"/>
  <c r="E89" i="10"/>
  <c r="E82" i="10"/>
  <c r="E75" i="10"/>
  <c r="E76" i="10"/>
  <c r="E77" i="10"/>
  <c r="E78" i="10"/>
  <c r="E79" i="10"/>
  <c r="E80" i="10"/>
  <c r="E81" i="10"/>
  <c r="E74" i="10"/>
  <c r="E67" i="10"/>
  <c r="E68" i="10"/>
  <c r="E69" i="10"/>
  <c r="E70" i="10"/>
  <c r="E71" i="10"/>
  <c r="E72" i="10"/>
  <c r="E73" i="10"/>
  <c r="E66" i="10"/>
  <c r="E59" i="10"/>
  <c r="E60" i="10"/>
  <c r="E61" i="10"/>
  <c r="E62" i="10"/>
  <c r="E63" i="10"/>
  <c r="E64" i="10"/>
  <c r="E65" i="10"/>
  <c r="E58" i="10"/>
  <c r="E51" i="10"/>
  <c r="E52" i="10"/>
  <c r="E53" i="10"/>
  <c r="E54" i="10"/>
  <c r="E55" i="10"/>
  <c r="E56" i="10"/>
  <c r="E57" i="10"/>
  <c r="E50" i="10"/>
  <c r="E43" i="10"/>
  <c r="E44" i="10"/>
  <c r="E45" i="10"/>
  <c r="E46" i="10"/>
  <c r="E47" i="10"/>
  <c r="E48" i="10"/>
  <c r="E49" i="10"/>
  <c r="E42" i="10"/>
  <c r="E35" i="10"/>
  <c r="E36" i="10"/>
  <c r="E37" i="10"/>
  <c r="E38" i="10"/>
  <c r="E39" i="10"/>
  <c r="E40" i="10"/>
  <c r="E41" i="10"/>
  <c r="E34" i="10"/>
  <c r="E27" i="10"/>
  <c r="E28" i="10"/>
  <c r="E29" i="10"/>
  <c r="E30" i="10"/>
  <c r="E31" i="10"/>
  <c r="E32" i="10"/>
  <c r="E33" i="10"/>
  <c r="E26" i="10"/>
  <c r="E19" i="10"/>
  <c r="E20" i="10"/>
  <c r="E21" i="10"/>
  <c r="E22" i="10"/>
  <c r="E23" i="10"/>
  <c r="E24" i="10"/>
  <c r="E25" i="10"/>
  <c r="E18" i="10"/>
  <c r="E11" i="10"/>
  <c r="E12" i="10"/>
  <c r="E13" i="10"/>
  <c r="E14" i="10"/>
  <c r="E15" i="10"/>
  <c r="E16" i="10"/>
  <c r="E17" i="10"/>
  <c r="E10" i="10"/>
  <c r="E3" i="10"/>
  <c r="E4" i="10"/>
  <c r="E5" i="10"/>
  <c r="E6" i="10"/>
  <c r="E7" i="10"/>
  <c r="E8" i="10"/>
  <c r="E9" i="10"/>
  <c r="B5" i="7"/>
  <c r="C5" i="7"/>
  <c r="D5" i="7" s="1"/>
  <c r="E5" i="7"/>
  <c r="F5" i="7"/>
  <c r="H5" i="7"/>
  <c r="I5" i="7"/>
  <c r="K5" i="7"/>
  <c r="L5" i="7"/>
  <c r="N5" i="7"/>
  <c r="O5" i="7"/>
  <c r="Q5" i="7"/>
  <c r="R5" i="7"/>
  <c r="T5" i="7"/>
  <c r="U5" i="7"/>
  <c r="W5" i="7"/>
  <c r="X5" i="7"/>
  <c r="Z5" i="7"/>
  <c r="AA5" i="7"/>
  <c r="AC5" i="7"/>
  <c r="AD5" i="7"/>
  <c r="AF5" i="7"/>
  <c r="AG5" i="7"/>
  <c r="AI5" i="7"/>
  <c r="AJ5" i="7"/>
  <c r="AL5" i="7"/>
  <c r="AM5" i="7"/>
  <c r="AO5" i="7"/>
  <c r="AP5" i="7"/>
  <c r="AR5" i="7"/>
  <c r="AS5" i="7"/>
  <c r="AU5" i="7"/>
  <c r="AV5" i="7"/>
  <c r="B6" i="7"/>
  <c r="C6" i="7"/>
  <c r="D6" i="7" s="1"/>
  <c r="E6" i="7"/>
  <c r="F6" i="7"/>
  <c r="H6" i="7"/>
  <c r="I6" i="7"/>
  <c r="K6" i="7"/>
  <c r="L6" i="7"/>
  <c r="N6" i="7"/>
  <c r="O6" i="7"/>
  <c r="Q6" i="7"/>
  <c r="R6" i="7"/>
  <c r="T6" i="7"/>
  <c r="U6" i="7"/>
  <c r="W6" i="7"/>
  <c r="X6" i="7"/>
  <c r="Z6" i="7"/>
  <c r="AA6" i="7"/>
  <c r="AC6" i="7"/>
  <c r="AD6" i="7"/>
  <c r="AF6" i="7"/>
  <c r="AG6" i="7"/>
  <c r="AI6" i="7"/>
  <c r="AJ6" i="7"/>
  <c r="AL6" i="7"/>
  <c r="AM6" i="7"/>
  <c r="AO6" i="7"/>
  <c r="AP6" i="7"/>
  <c r="AR6" i="7"/>
  <c r="AS6" i="7"/>
  <c r="AU6" i="7"/>
  <c r="AV6" i="7"/>
  <c r="B7" i="7"/>
  <c r="C7" i="7"/>
  <c r="D7" i="7" s="1"/>
  <c r="E7" i="7"/>
  <c r="F7" i="7"/>
  <c r="H7" i="7"/>
  <c r="I7" i="7"/>
  <c r="K7" i="7"/>
  <c r="L7" i="7"/>
  <c r="N7" i="7"/>
  <c r="O7" i="7"/>
  <c r="Q7" i="7"/>
  <c r="R7" i="7"/>
  <c r="T7" i="7"/>
  <c r="U7" i="7"/>
  <c r="W7" i="7"/>
  <c r="X7" i="7"/>
  <c r="Z7" i="7"/>
  <c r="AA7" i="7"/>
  <c r="AC7" i="7"/>
  <c r="AD7" i="7"/>
  <c r="AF7" i="7"/>
  <c r="AG7" i="7"/>
  <c r="AI7" i="7"/>
  <c r="AJ7" i="7"/>
  <c r="AL7" i="7"/>
  <c r="AM7" i="7"/>
  <c r="AO7" i="7"/>
  <c r="AP7" i="7"/>
  <c r="AR7" i="7"/>
  <c r="AS7" i="7"/>
  <c r="AU7" i="7"/>
  <c r="AV7" i="7"/>
  <c r="B8" i="7"/>
  <c r="C8" i="7"/>
  <c r="D8" i="7" s="1"/>
  <c r="E8" i="7"/>
  <c r="F8" i="7"/>
  <c r="H8" i="7"/>
  <c r="I8" i="7"/>
  <c r="K8" i="7"/>
  <c r="L8" i="7"/>
  <c r="N8" i="7"/>
  <c r="O8" i="7"/>
  <c r="Q8" i="7"/>
  <c r="R8" i="7"/>
  <c r="T8" i="7"/>
  <c r="U8" i="7"/>
  <c r="W8" i="7"/>
  <c r="X8" i="7"/>
  <c r="Z8" i="7"/>
  <c r="AA8" i="7"/>
  <c r="AC8" i="7"/>
  <c r="AD8" i="7"/>
  <c r="AF8" i="7"/>
  <c r="AG8" i="7"/>
  <c r="AI8" i="7"/>
  <c r="AJ8" i="7"/>
  <c r="AL8" i="7"/>
  <c r="AM8" i="7"/>
  <c r="AO8" i="7"/>
  <c r="AP8" i="7"/>
  <c r="AR8" i="7"/>
  <c r="AS8" i="7"/>
  <c r="AU8" i="7"/>
  <c r="AV8" i="7"/>
  <c r="B9" i="7"/>
  <c r="C9" i="7"/>
  <c r="D9" i="7" s="1"/>
  <c r="E9" i="7"/>
  <c r="F9" i="7"/>
  <c r="H9" i="7"/>
  <c r="I9" i="7"/>
  <c r="K9" i="7"/>
  <c r="L9" i="7"/>
  <c r="N9" i="7"/>
  <c r="O9" i="7"/>
  <c r="Q9" i="7"/>
  <c r="R9" i="7"/>
  <c r="T9" i="7"/>
  <c r="U9" i="7"/>
  <c r="W9" i="7"/>
  <c r="X9" i="7"/>
  <c r="Z9" i="7"/>
  <c r="AA9" i="7"/>
  <c r="AC9" i="7"/>
  <c r="AD9" i="7"/>
  <c r="AF9" i="7"/>
  <c r="AG9" i="7"/>
  <c r="AI9" i="7"/>
  <c r="AJ9" i="7"/>
  <c r="AL9" i="7"/>
  <c r="AM9" i="7"/>
  <c r="AO9" i="7"/>
  <c r="AP9" i="7"/>
  <c r="AR9" i="7"/>
  <c r="AS9" i="7"/>
  <c r="AU9" i="7"/>
  <c r="AV9" i="7"/>
  <c r="B10" i="7"/>
  <c r="C10" i="7"/>
  <c r="D10" i="7" s="1"/>
  <c r="E10" i="7"/>
  <c r="F10" i="7"/>
  <c r="H10" i="7"/>
  <c r="I10" i="7"/>
  <c r="K10" i="7"/>
  <c r="L10" i="7"/>
  <c r="N10" i="7"/>
  <c r="O10" i="7"/>
  <c r="Q10" i="7"/>
  <c r="R10" i="7"/>
  <c r="T10" i="7"/>
  <c r="U10" i="7"/>
  <c r="W10" i="7"/>
  <c r="X10" i="7"/>
  <c r="Z10" i="7"/>
  <c r="AA10" i="7"/>
  <c r="AC10" i="7"/>
  <c r="AD10" i="7"/>
  <c r="AF10" i="7"/>
  <c r="AG10" i="7"/>
  <c r="AI10" i="7"/>
  <c r="AJ10" i="7"/>
  <c r="AL10" i="7"/>
  <c r="AM10" i="7"/>
  <c r="AO10" i="7"/>
  <c r="AP10" i="7"/>
  <c r="AR10" i="7"/>
  <c r="AS10" i="7"/>
  <c r="AU10" i="7"/>
  <c r="AV10" i="7"/>
  <c r="A5" i="7"/>
  <c r="AY15" i="7" s="1"/>
  <c r="A6" i="7"/>
  <c r="AY16" i="7" s="1"/>
  <c r="A7" i="7"/>
  <c r="AY17" i="7" s="1"/>
  <c r="A8" i="7"/>
  <c r="AY18" i="7" s="1"/>
  <c r="A9" i="7"/>
  <c r="AY19" i="7" s="1"/>
  <c r="A10" i="7"/>
  <c r="AY20" i="7" s="1"/>
  <c r="AS16" i="2"/>
  <c r="AT16" i="2"/>
  <c r="AS17" i="2"/>
  <c r="AT17" i="2"/>
  <c r="AS18" i="2"/>
  <c r="AT18" i="2"/>
  <c r="AS19" i="2"/>
  <c r="AT19" i="2"/>
  <c r="AS20" i="2"/>
  <c r="AT20" i="2"/>
  <c r="AS21" i="2"/>
  <c r="AT21" i="2"/>
  <c r="AS22" i="2"/>
  <c r="AT22" i="2"/>
  <c r="AN16" i="2"/>
  <c r="AO16" i="2"/>
  <c r="AN17" i="2"/>
  <c r="AO17" i="2"/>
  <c r="AN18" i="2"/>
  <c r="AO18" i="2"/>
  <c r="AN19" i="2"/>
  <c r="AO19" i="2"/>
  <c r="AN20" i="2"/>
  <c r="AO20" i="2"/>
  <c r="AN21" i="2"/>
  <c r="AO21" i="2"/>
  <c r="AN22" i="2"/>
  <c r="AO22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E16" i="2"/>
  <c r="E17" i="2"/>
  <c r="E18" i="2"/>
  <c r="E19" i="2"/>
  <c r="E20" i="2"/>
  <c r="E21" i="2"/>
  <c r="E22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AS5" i="2"/>
  <c r="AT5" i="2"/>
  <c r="AT6" i="2"/>
  <c r="AS7" i="2"/>
  <c r="AT7" i="2"/>
  <c r="AS8" i="2"/>
  <c r="AT8" i="2"/>
  <c r="AS9" i="2"/>
  <c r="AT9" i="2"/>
  <c r="AS10" i="2"/>
  <c r="AT10" i="2"/>
  <c r="AS11" i="2"/>
  <c r="AT11" i="2"/>
  <c r="AN5" i="2"/>
  <c r="AO5" i="2"/>
  <c r="AN6" i="2"/>
  <c r="AO6" i="2"/>
  <c r="AN7" i="2"/>
  <c r="AO7" i="2"/>
  <c r="AN8" i="2"/>
  <c r="AO8" i="2"/>
  <c r="AN9" i="2"/>
  <c r="AO9" i="2"/>
  <c r="AN10" i="2"/>
  <c r="AO10" i="2"/>
  <c r="AN11" i="2"/>
  <c r="AO11" i="2"/>
  <c r="AI5" i="2"/>
  <c r="AJ5" i="2"/>
  <c r="AI6" i="2"/>
  <c r="AJ6" i="2"/>
  <c r="AI7" i="2"/>
  <c r="AJ7" i="2"/>
  <c r="AI8" i="2"/>
  <c r="AJ8" i="2"/>
  <c r="AI9" i="2"/>
  <c r="AJ9" i="2"/>
  <c r="AI10" i="2"/>
  <c r="AJ10" i="2"/>
  <c r="AI11" i="2"/>
  <c r="AJ11" i="2"/>
  <c r="AD5" i="2"/>
  <c r="AE5" i="2"/>
  <c r="AD6" i="2"/>
  <c r="AE6" i="2"/>
  <c r="AD7" i="2"/>
  <c r="AE7" i="2"/>
  <c r="AE8" i="2"/>
  <c r="AE9" i="2"/>
  <c r="AD10" i="2"/>
  <c r="AE10" i="2"/>
  <c r="AD11" i="2"/>
  <c r="AE11" i="2"/>
  <c r="Y5" i="2"/>
  <c r="Y6" i="2"/>
  <c r="Y7" i="2"/>
  <c r="Y8" i="2"/>
  <c r="Y9" i="2"/>
  <c r="Y10" i="2"/>
  <c r="Y11" i="2"/>
  <c r="O5" i="2"/>
  <c r="O6" i="2"/>
  <c r="O7" i="2"/>
  <c r="O8" i="2"/>
  <c r="O9" i="2"/>
  <c r="O10" i="2"/>
  <c r="O11" i="2"/>
  <c r="J5" i="2"/>
  <c r="J6" i="2"/>
  <c r="J7" i="2"/>
  <c r="J8" i="2"/>
  <c r="J9" i="2"/>
  <c r="J10" i="2"/>
  <c r="J11" i="2"/>
  <c r="E5" i="2"/>
  <c r="E6" i="2"/>
  <c r="E7" i="2"/>
  <c r="E8" i="2"/>
  <c r="E9" i="2"/>
  <c r="E10" i="2"/>
  <c r="E11" i="2"/>
  <c r="A5" i="2"/>
  <c r="A16" i="2" s="1"/>
  <c r="A6" i="2"/>
  <c r="A17" i="2" s="1"/>
  <c r="A7" i="2"/>
  <c r="A18" i="2" s="1"/>
  <c r="A8" i="2"/>
  <c r="A19" i="2" s="1"/>
  <c r="A9" i="2"/>
  <c r="A20" i="2" s="1"/>
  <c r="A10" i="2"/>
  <c r="A21" i="2" s="1"/>
  <c r="A11" i="2"/>
  <c r="A22" i="2" s="1"/>
  <c r="K6" i="3"/>
  <c r="K7" i="3"/>
  <c r="J6" i="3"/>
  <c r="B39" i="1" s="1"/>
  <c r="AB39" i="1" s="1"/>
  <c r="J7" i="3"/>
  <c r="E31" i="2" s="1"/>
  <c r="H6" i="3"/>
  <c r="B28" i="1" s="1"/>
  <c r="AB28" i="1" s="1"/>
  <c r="H7" i="3"/>
  <c r="D31" i="2" s="1"/>
  <c r="F6" i="3"/>
  <c r="B17" i="1" s="1"/>
  <c r="F7" i="3"/>
  <c r="B18" i="1" s="1"/>
  <c r="AB18" i="1" s="1"/>
  <c r="D6" i="3"/>
  <c r="B6" i="1" s="1"/>
  <c r="AB6" i="1" s="1"/>
  <c r="D7" i="3"/>
  <c r="B31" i="2" s="1"/>
  <c r="D15" i="7" l="1"/>
  <c r="D19" i="7"/>
  <c r="D16" i="7"/>
  <c r="D20" i="7"/>
  <c r="D17" i="7"/>
  <c r="D21" i="7"/>
  <c r="D18" i="7"/>
  <c r="D14" i="7"/>
  <c r="J11" i="7"/>
  <c r="AB17" i="1"/>
  <c r="E30" i="2"/>
  <c r="B30" i="2"/>
  <c r="C31" i="2"/>
  <c r="B7" i="1"/>
  <c r="AB7" i="1" s="1"/>
  <c r="B29" i="1"/>
  <c r="AB29" i="1" s="1"/>
  <c r="B40" i="1"/>
  <c r="AB40" i="1" s="1"/>
  <c r="D30" i="2"/>
  <c r="C30" i="2"/>
  <c r="G7" i="7"/>
  <c r="J7" i="7" s="1"/>
  <c r="M7" i="7" s="1"/>
  <c r="P7" i="7" s="1"/>
  <c r="S7" i="7" s="1"/>
  <c r="V7" i="7" s="1"/>
  <c r="Y7" i="7" s="1"/>
  <c r="AB7" i="7" s="1"/>
  <c r="AE7" i="7" s="1"/>
  <c r="AH7" i="7" s="1"/>
  <c r="AK7" i="7" s="1"/>
  <c r="AN7" i="7" s="1"/>
  <c r="AQ7" i="7" s="1"/>
  <c r="AT7" i="7" s="1"/>
  <c r="AW7" i="7" s="1"/>
  <c r="G5" i="7"/>
  <c r="J5" i="7" s="1"/>
  <c r="M5" i="7" s="1"/>
  <c r="P5" i="7" s="1"/>
  <c r="S5" i="7" s="1"/>
  <c r="V5" i="7" s="1"/>
  <c r="Y5" i="7" s="1"/>
  <c r="AB5" i="7" s="1"/>
  <c r="AE5" i="7" s="1"/>
  <c r="AH5" i="7" s="1"/>
  <c r="AK5" i="7" s="1"/>
  <c r="AN5" i="7" s="1"/>
  <c r="AQ5" i="7" s="1"/>
  <c r="AT5" i="7" s="1"/>
  <c r="AW5" i="7" s="1"/>
  <c r="G8" i="7"/>
  <c r="J8" i="7" s="1"/>
  <c r="M8" i="7" s="1"/>
  <c r="P8" i="7" s="1"/>
  <c r="S8" i="7" s="1"/>
  <c r="V8" i="7" s="1"/>
  <c r="Y8" i="7" s="1"/>
  <c r="AB8" i="7" s="1"/>
  <c r="AE8" i="7" s="1"/>
  <c r="AH8" i="7" s="1"/>
  <c r="AK8" i="7" s="1"/>
  <c r="AN8" i="7" s="1"/>
  <c r="AQ8" i="7" s="1"/>
  <c r="AT8" i="7" s="1"/>
  <c r="AW8" i="7" s="1"/>
  <c r="G9" i="7"/>
  <c r="G6" i="7"/>
  <c r="J6" i="7" s="1"/>
  <c r="M6" i="7" s="1"/>
  <c r="P6" i="7" s="1"/>
  <c r="S6" i="7" s="1"/>
  <c r="V6" i="7" s="1"/>
  <c r="Y6" i="7" s="1"/>
  <c r="AB6" i="7" s="1"/>
  <c r="AE6" i="7" s="1"/>
  <c r="AH6" i="7" s="1"/>
  <c r="AK6" i="7" s="1"/>
  <c r="AN6" i="7" s="1"/>
  <c r="AQ6" i="7" s="1"/>
  <c r="AT6" i="7" s="1"/>
  <c r="AW6" i="7" s="1"/>
  <c r="G10" i="7"/>
  <c r="J10" i="7" s="1"/>
  <c r="M10" i="7" s="1"/>
  <c r="P10" i="7" s="1"/>
  <c r="S10" i="7" s="1"/>
  <c r="V10" i="7" s="1"/>
  <c r="Y10" i="7" s="1"/>
  <c r="AB10" i="7" s="1"/>
  <c r="AE10" i="7" s="1"/>
  <c r="AH10" i="7" s="1"/>
  <c r="AK10" i="7" s="1"/>
  <c r="AN10" i="7" s="1"/>
  <c r="AQ10" i="7" s="1"/>
  <c r="AT10" i="7" s="1"/>
  <c r="AW10" i="7" s="1"/>
  <c r="B8" i="2"/>
  <c r="B6" i="2"/>
  <c r="B7" i="2"/>
  <c r="D3" i="3"/>
  <c r="B3" i="1" s="1"/>
  <c r="AB3" i="1" s="1"/>
  <c r="AT15" i="2"/>
  <c r="AO15" i="2"/>
  <c r="AJ22" i="2"/>
  <c r="AJ15" i="2"/>
  <c r="AE15" i="2"/>
  <c r="E2" i="10"/>
  <c r="A72" i="10" s="1"/>
  <c r="C72" i="10" s="1"/>
  <c r="J9" i="3"/>
  <c r="J8" i="3"/>
  <c r="J5" i="3"/>
  <c r="J4" i="3"/>
  <c r="J3" i="3"/>
  <c r="B36" i="1" s="1"/>
  <c r="AB36" i="1" s="1"/>
  <c r="H9" i="3"/>
  <c r="H8" i="3"/>
  <c r="H5" i="3"/>
  <c r="H4" i="3"/>
  <c r="H3" i="3"/>
  <c r="F9" i="3"/>
  <c r="F8" i="3"/>
  <c r="F5" i="3"/>
  <c r="F4" i="3"/>
  <c r="F3" i="3"/>
  <c r="D9" i="3"/>
  <c r="D8" i="3"/>
  <c r="D5" i="3"/>
  <c r="B5" i="1" s="1"/>
  <c r="AB5" i="1" s="1"/>
  <c r="D4" i="3"/>
  <c r="B4" i="1" s="1"/>
  <c r="AB4" i="1" s="1"/>
  <c r="S2" i="2"/>
  <c r="G2" i="10"/>
  <c r="H55" i="2"/>
  <c r="K15" i="2"/>
  <c r="P15" i="2"/>
  <c r="U15" i="2"/>
  <c r="Z15" i="2"/>
  <c r="AE4" i="2"/>
  <c r="AJ4" i="2"/>
  <c r="AO4" i="2"/>
  <c r="AT4" i="2"/>
  <c r="E15" i="2"/>
  <c r="F16" i="2" s="1"/>
  <c r="B5" i="2"/>
  <c r="B9" i="2"/>
  <c r="B10" i="2"/>
  <c r="B11" i="2"/>
  <c r="E4" i="2"/>
  <c r="F7" i="2" s="1"/>
  <c r="A4" i="2"/>
  <c r="A15" i="2" s="1"/>
  <c r="O15" i="2"/>
  <c r="AI22" i="2"/>
  <c r="AN15" i="2"/>
  <c r="AD15" i="2"/>
  <c r="AD4" i="2"/>
  <c r="J15" i="2"/>
  <c r="O4" i="2"/>
  <c r="AS15" i="2"/>
  <c r="AS4" i="2"/>
  <c r="AN4" i="2"/>
  <c r="N2" i="2"/>
  <c r="AI15" i="2"/>
  <c r="AI4" i="2"/>
  <c r="J4" i="2"/>
  <c r="Y15" i="2"/>
  <c r="T15" i="2"/>
  <c r="K9" i="3"/>
  <c r="K4" i="3"/>
  <c r="K5" i="3"/>
  <c r="K8" i="3"/>
  <c r="K3" i="3"/>
  <c r="C4" i="7"/>
  <c r="D4" i="7" s="1"/>
  <c r="F4" i="7"/>
  <c r="I4" i="7"/>
  <c r="L4" i="7"/>
  <c r="O4" i="7"/>
  <c r="R4" i="7"/>
  <c r="U4" i="7"/>
  <c r="X4" i="7"/>
  <c r="AA4" i="7"/>
  <c r="AD4" i="7"/>
  <c r="AG4" i="7"/>
  <c r="AJ4" i="7"/>
  <c r="AM4" i="7"/>
  <c r="AP4" i="7"/>
  <c r="AS4" i="7"/>
  <c r="AV4" i="7"/>
  <c r="A4" i="7"/>
  <c r="AY14" i="7" s="1"/>
  <c r="AC4" i="7"/>
  <c r="Z4" i="7"/>
  <c r="E4" i="7"/>
  <c r="B4" i="7"/>
  <c r="AU4" i="7"/>
  <c r="AR4" i="7"/>
  <c r="AO4" i="7"/>
  <c r="AL4" i="7"/>
  <c r="AI4" i="7"/>
  <c r="AF4" i="7"/>
  <c r="W4" i="7"/>
  <c r="T4" i="7"/>
  <c r="Q4" i="7"/>
  <c r="N4" i="7"/>
  <c r="K4" i="7"/>
  <c r="H4" i="7"/>
  <c r="Y4" i="2"/>
  <c r="Z5" i="2" l="1"/>
  <c r="K4" i="2"/>
  <c r="F18" i="2"/>
  <c r="F20" i="2"/>
  <c r="M11" i="7"/>
  <c r="C20" i="7"/>
  <c r="C21" i="7"/>
  <c r="AZ21" i="7"/>
  <c r="B28" i="2"/>
  <c r="K10" i="2"/>
  <c r="P11" i="2"/>
  <c r="P8" i="2"/>
  <c r="P6" i="2"/>
  <c r="C28" i="2"/>
  <c r="B15" i="1"/>
  <c r="AB15" i="1" s="1"/>
  <c r="C34" i="2"/>
  <c r="B21" i="1"/>
  <c r="AB21" i="1" s="1"/>
  <c r="E28" i="2"/>
  <c r="B37" i="1"/>
  <c r="AB37" i="1" s="1"/>
  <c r="K7" i="2"/>
  <c r="U8" i="2"/>
  <c r="U6" i="2"/>
  <c r="Z11" i="2"/>
  <c r="Z8" i="2"/>
  <c r="P7" i="2"/>
  <c r="Z6" i="2"/>
  <c r="U4" i="2"/>
  <c r="K6" i="2"/>
  <c r="U9" i="2"/>
  <c r="K8" i="2"/>
  <c r="U7" i="2"/>
  <c r="K11" i="2"/>
  <c r="B20" i="1"/>
  <c r="AB20" i="1" s="1"/>
  <c r="C33" i="2"/>
  <c r="B27" i="1"/>
  <c r="AB27" i="1" s="1"/>
  <c r="D29" i="2"/>
  <c r="B42" i="1"/>
  <c r="AB42" i="1" s="1"/>
  <c r="E33" i="2"/>
  <c r="U5" i="2"/>
  <c r="Z10" i="2"/>
  <c r="B8" i="1"/>
  <c r="AB8" i="1" s="1"/>
  <c r="B32" i="2"/>
  <c r="B30" i="1"/>
  <c r="AB30" i="1" s="1"/>
  <c r="D32" i="2"/>
  <c r="B43" i="1"/>
  <c r="AB43" i="1" s="1"/>
  <c r="E34" i="2"/>
  <c r="U11" i="2"/>
  <c r="K9" i="2"/>
  <c r="P4" i="2"/>
  <c r="P9" i="2"/>
  <c r="T5" i="2"/>
  <c r="T8" i="2"/>
  <c r="T6" i="2"/>
  <c r="T9" i="2"/>
  <c r="T7" i="2"/>
  <c r="T10" i="2"/>
  <c r="T11" i="2"/>
  <c r="B9" i="1"/>
  <c r="AB9" i="1" s="1"/>
  <c r="B33" i="2"/>
  <c r="B16" i="1"/>
  <c r="AB16" i="1" s="1"/>
  <c r="C29" i="2"/>
  <c r="B31" i="1"/>
  <c r="AB31" i="1" s="1"/>
  <c r="D33" i="2"/>
  <c r="B38" i="1"/>
  <c r="AB38" i="1" s="1"/>
  <c r="E29" i="2"/>
  <c r="B34" i="2"/>
  <c r="B10" i="1"/>
  <c r="AB10" i="1" s="1"/>
  <c r="B19" i="1"/>
  <c r="AB19" i="1" s="1"/>
  <c r="C32" i="2"/>
  <c r="D28" i="2"/>
  <c r="B26" i="1"/>
  <c r="AB26" i="1" s="1"/>
  <c r="D34" i="2"/>
  <c r="B32" i="1"/>
  <c r="AB32" i="1" s="1"/>
  <c r="B41" i="1"/>
  <c r="AB41" i="1" s="1"/>
  <c r="E32" i="2"/>
  <c r="Z4" i="2"/>
  <c r="P10" i="2"/>
  <c r="Z9" i="2"/>
  <c r="Z7" i="2"/>
  <c r="P5" i="2"/>
  <c r="K5" i="2"/>
  <c r="U10" i="2"/>
  <c r="F19" i="2"/>
  <c r="F21" i="2"/>
  <c r="F22" i="2"/>
  <c r="F17" i="2"/>
  <c r="F5" i="2"/>
  <c r="AZ20" i="7"/>
  <c r="AZ15" i="7"/>
  <c r="AZ17" i="7"/>
  <c r="AZ18" i="7"/>
  <c r="F6" i="2"/>
  <c r="F8" i="2"/>
  <c r="F11" i="2"/>
  <c r="C17" i="7"/>
  <c r="F9" i="2"/>
  <c r="F10" i="2"/>
  <c r="AZ19" i="7"/>
  <c r="C18" i="7"/>
  <c r="C19" i="7"/>
  <c r="C15" i="7"/>
  <c r="C16" i="7"/>
  <c r="AZ16" i="7"/>
  <c r="J9" i="7"/>
  <c r="A39" i="10"/>
  <c r="C39" i="10" s="1"/>
  <c r="A53" i="10"/>
  <c r="C53" i="10" s="1"/>
  <c r="A11" i="10"/>
  <c r="C11" i="10" s="1"/>
  <c r="A10" i="10"/>
  <c r="C10" i="10" s="1"/>
  <c r="A51" i="10"/>
  <c r="C51" i="10" s="1"/>
  <c r="A25" i="10"/>
  <c r="C25" i="10" s="1"/>
  <c r="A24" i="10"/>
  <c r="C24" i="10" s="1"/>
  <c r="A108" i="10"/>
  <c r="C108" i="10" s="1"/>
  <c r="A38" i="10"/>
  <c r="C38" i="10" s="1"/>
  <c r="A15" i="10"/>
  <c r="C15" i="10" s="1"/>
  <c r="A2" i="10"/>
  <c r="C2" i="10" s="1"/>
  <c r="A3" i="10"/>
  <c r="C3" i="10" s="1"/>
  <c r="A36" i="10"/>
  <c r="C36" i="10" s="1"/>
  <c r="A50" i="10"/>
  <c r="C50" i="10" s="1"/>
  <c r="A6" i="10"/>
  <c r="C6" i="10" s="1"/>
  <c r="A21" i="10"/>
  <c r="C21" i="10" s="1"/>
  <c r="A35" i="10"/>
  <c r="C35" i="10" s="1"/>
  <c r="A49" i="10"/>
  <c r="C49" i="10" s="1"/>
  <c r="A37" i="10"/>
  <c r="C37" i="10" s="1"/>
  <c r="A67" i="10"/>
  <c r="C67" i="10" s="1"/>
  <c r="A124" i="10"/>
  <c r="C124" i="10" s="1"/>
  <c r="A58" i="10"/>
  <c r="C58" i="10" s="1"/>
  <c r="A115" i="10"/>
  <c r="C115" i="10" s="1"/>
  <c r="A88" i="10"/>
  <c r="C88" i="10" s="1"/>
  <c r="A83" i="10"/>
  <c r="C83" i="10" s="1"/>
  <c r="A59" i="10"/>
  <c r="C59" i="10" s="1"/>
  <c r="A96" i="10"/>
  <c r="C96" i="10" s="1"/>
  <c r="A89" i="10"/>
  <c r="C89" i="10" s="1"/>
  <c r="A30" i="10"/>
  <c r="C30" i="10" s="1"/>
  <c r="A62" i="10"/>
  <c r="C62" i="10" s="1"/>
  <c r="A91" i="10"/>
  <c r="C91" i="10" s="1"/>
  <c r="A119" i="10"/>
  <c r="C119" i="10" s="1"/>
  <c r="A41" i="10"/>
  <c r="C41" i="10" s="1"/>
  <c r="A99" i="10"/>
  <c r="C99" i="10" s="1"/>
  <c r="A57" i="10"/>
  <c r="C57" i="10" s="1"/>
  <c r="A114" i="10"/>
  <c r="C114" i="10" s="1"/>
  <c r="A47" i="10"/>
  <c r="C47" i="10" s="1"/>
  <c r="A55" i="10"/>
  <c r="C55" i="10" s="1"/>
  <c r="A94" i="10"/>
  <c r="C94" i="10" s="1"/>
  <c r="A26" i="10"/>
  <c r="C26" i="10" s="1"/>
  <c r="A82" i="10"/>
  <c r="C82" i="10" s="1"/>
  <c r="A92" i="10"/>
  <c r="C92" i="10" s="1"/>
  <c r="A81" i="10"/>
  <c r="C81" i="10" s="1"/>
  <c r="A129" i="10"/>
  <c r="C129" i="10" s="1"/>
  <c r="A102" i="10"/>
  <c r="C102" i="10" s="1"/>
  <c r="A111" i="10"/>
  <c r="C111" i="10" s="1"/>
  <c r="A68" i="10"/>
  <c r="C68" i="10" s="1"/>
  <c r="A106" i="10"/>
  <c r="C106" i="10" s="1"/>
  <c r="A9" i="10"/>
  <c r="C9" i="10" s="1"/>
  <c r="A98" i="10"/>
  <c r="C98" i="10" s="1"/>
  <c r="A126" i="10"/>
  <c r="C126" i="10" s="1"/>
  <c r="A90" i="10"/>
  <c r="C90" i="10" s="1"/>
  <c r="A61" i="10"/>
  <c r="C61" i="10" s="1"/>
  <c r="A109" i="10"/>
  <c r="C109" i="10" s="1"/>
  <c r="A64" i="10"/>
  <c r="C64" i="10" s="1"/>
  <c r="A93" i="10"/>
  <c r="C93" i="10" s="1"/>
  <c r="A121" i="10"/>
  <c r="C121" i="10" s="1"/>
  <c r="A76" i="10"/>
  <c r="C76" i="10" s="1"/>
  <c r="A66" i="10"/>
  <c r="C66" i="10" s="1"/>
  <c r="A103" i="10"/>
  <c r="C103" i="10" s="1"/>
  <c r="A12" i="10"/>
  <c r="C12" i="10" s="1"/>
  <c r="A110" i="10"/>
  <c r="C110" i="10" s="1"/>
  <c r="A120" i="10"/>
  <c r="C120" i="10" s="1"/>
  <c r="A40" i="10"/>
  <c r="C40" i="10" s="1"/>
  <c r="A14" i="10"/>
  <c r="C14" i="10" s="1"/>
  <c r="A29" i="10"/>
  <c r="C29" i="10" s="1"/>
  <c r="A43" i="10"/>
  <c r="C43" i="10" s="1"/>
  <c r="A5" i="10"/>
  <c r="C5" i="10" s="1"/>
  <c r="A28" i="10"/>
  <c r="C28" i="10" s="1"/>
  <c r="A42" i="10"/>
  <c r="C42" i="10" s="1"/>
  <c r="A56" i="10"/>
  <c r="C56" i="10" s="1"/>
  <c r="A65" i="10"/>
  <c r="C65" i="10" s="1"/>
  <c r="A122" i="10"/>
  <c r="C122" i="10" s="1"/>
  <c r="A95" i="10"/>
  <c r="C95" i="10" s="1"/>
  <c r="A86" i="10"/>
  <c r="C86" i="10" s="1"/>
  <c r="A60" i="10"/>
  <c r="C60" i="10" s="1"/>
  <c r="A117" i="10"/>
  <c r="C117" i="10" s="1"/>
  <c r="A116" i="10"/>
  <c r="C116" i="10" s="1"/>
  <c r="A16" i="10"/>
  <c r="C16" i="10" s="1"/>
  <c r="A45" i="10"/>
  <c r="C45" i="10" s="1"/>
  <c r="A77" i="10"/>
  <c r="C77" i="10" s="1"/>
  <c r="A105" i="10"/>
  <c r="C105" i="10" s="1"/>
  <c r="A7" i="10"/>
  <c r="C7" i="10" s="1"/>
  <c r="A118" i="10"/>
  <c r="C118" i="10" s="1"/>
  <c r="A70" i="10"/>
  <c r="C70" i="10" s="1"/>
  <c r="A71" i="10"/>
  <c r="C71" i="10" s="1"/>
  <c r="A100" i="10"/>
  <c r="C100" i="10" s="1"/>
  <c r="A128" i="10"/>
  <c r="C128" i="10" s="1"/>
  <c r="A104" i="10"/>
  <c r="C104" i="10" s="1"/>
  <c r="A75" i="10"/>
  <c r="C75" i="10" s="1"/>
  <c r="A113" i="10"/>
  <c r="C113" i="10" s="1"/>
  <c r="A69" i="10"/>
  <c r="C69" i="10" s="1"/>
  <c r="A73" i="10"/>
  <c r="C73" i="10" s="1"/>
  <c r="A97" i="10"/>
  <c r="C97" i="10" s="1"/>
  <c r="A18" i="10"/>
  <c r="C18" i="10" s="1"/>
  <c r="A32" i="10"/>
  <c r="C32" i="10" s="1"/>
  <c r="A46" i="10"/>
  <c r="C46" i="10" s="1"/>
  <c r="A17" i="10"/>
  <c r="C17" i="10" s="1"/>
  <c r="A31" i="10"/>
  <c r="C31" i="10" s="1"/>
  <c r="A22" i="10"/>
  <c r="C22" i="10" s="1"/>
  <c r="A79" i="10"/>
  <c r="C79" i="10" s="1"/>
  <c r="A4" i="10"/>
  <c r="C4" i="10" s="1"/>
  <c r="A44" i="10"/>
  <c r="C44" i="10" s="1"/>
  <c r="A101" i="10"/>
  <c r="C101" i="10" s="1"/>
  <c r="A74" i="10"/>
  <c r="C74" i="10" s="1"/>
  <c r="A54" i="10"/>
  <c r="C54" i="10" s="1"/>
  <c r="A34" i="10"/>
  <c r="C34" i="10" s="1"/>
  <c r="A87" i="10"/>
  <c r="C87" i="10" s="1"/>
  <c r="A125" i="10"/>
  <c r="C125" i="10" s="1"/>
  <c r="A23" i="10"/>
  <c r="C23" i="10" s="1"/>
  <c r="A52" i="10"/>
  <c r="C52" i="10" s="1"/>
  <c r="A84" i="10"/>
  <c r="C84" i="10" s="1"/>
  <c r="A112" i="10"/>
  <c r="C112" i="10" s="1"/>
  <c r="A33" i="10"/>
  <c r="C33" i="10" s="1"/>
  <c r="A13" i="10"/>
  <c r="C13" i="10" s="1"/>
  <c r="A80" i="10"/>
  <c r="C80" i="10" s="1"/>
  <c r="A127" i="10"/>
  <c r="C127" i="10" s="1"/>
  <c r="A78" i="10"/>
  <c r="C78" i="10" s="1"/>
  <c r="A107" i="10"/>
  <c r="C107" i="10" s="1"/>
  <c r="A19" i="10"/>
  <c r="C19" i="10" s="1"/>
  <c r="A27" i="10"/>
  <c r="C27" i="10" s="1"/>
  <c r="A85" i="10"/>
  <c r="C85" i="10" s="1"/>
  <c r="A123" i="10"/>
  <c r="C123" i="10" s="1"/>
  <c r="A63" i="10"/>
  <c r="C63" i="10" s="1"/>
  <c r="A20" i="10"/>
  <c r="C20" i="10" s="1"/>
  <c r="A48" i="10"/>
  <c r="C48" i="10" s="1"/>
  <c r="A8" i="10"/>
  <c r="C8" i="10" s="1"/>
  <c r="B27" i="2"/>
  <c r="B29" i="2"/>
  <c r="G4" i="7"/>
  <c r="E27" i="2"/>
  <c r="T4" i="2"/>
  <c r="AZ14" i="7"/>
  <c r="C14" i="7"/>
  <c r="F4" i="2"/>
  <c r="B4" i="2"/>
  <c r="C8" i="2" s="1"/>
  <c r="B25" i="1"/>
  <c r="AB25" i="1" s="1"/>
  <c r="D27" i="2"/>
  <c r="F15" i="2"/>
  <c r="B14" i="1"/>
  <c r="AB14" i="1" s="1"/>
  <c r="C27" i="2"/>
  <c r="G21" i="7" l="1"/>
  <c r="G17" i="7"/>
  <c r="G14" i="7"/>
  <c r="G20" i="7"/>
  <c r="BA20" i="7" s="1"/>
  <c r="G16" i="7"/>
  <c r="G19" i="7"/>
  <c r="G15" i="7"/>
  <c r="G18" i="7"/>
  <c r="R39" i="1"/>
  <c r="P11" i="7"/>
  <c r="BA16" i="7"/>
  <c r="BA21" i="7"/>
  <c r="F21" i="7"/>
  <c r="BA19" i="7"/>
  <c r="C11" i="2"/>
  <c r="C5" i="2"/>
  <c r="C9" i="2"/>
  <c r="C10" i="2"/>
  <c r="F19" i="7"/>
  <c r="BA18" i="7"/>
  <c r="C6" i="2"/>
  <c r="F18" i="7"/>
  <c r="C7" i="2"/>
  <c r="F20" i="7"/>
  <c r="BA17" i="7"/>
  <c r="F17" i="7"/>
  <c r="F16" i="7"/>
  <c r="BA15" i="7"/>
  <c r="F15" i="7"/>
  <c r="M9" i="7"/>
  <c r="R16" i="1"/>
  <c r="C15" i="1"/>
  <c r="S21" i="1"/>
  <c r="C40" i="1"/>
  <c r="D9" i="1"/>
  <c r="T4" i="1"/>
  <c r="C30" i="1"/>
  <c r="S18" i="1"/>
  <c r="M8" i="1"/>
  <c r="E27" i="1"/>
  <c r="E5" i="1"/>
  <c r="T15" i="1"/>
  <c r="J39" i="1"/>
  <c r="C18" i="1"/>
  <c r="C41" i="1"/>
  <c r="E10" i="1"/>
  <c r="I6" i="1"/>
  <c r="I27" i="1"/>
  <c r="S20" i="1"/>
  <c r="R7" i="1"/>
  <c r="T18" i="1"/>
  <c r="H6" i="1"/>
  <c r="E18" i="1"/>
  <c r="D43" i="1"/>
  <c r="T29" i="1"/>
  <c r="R15" i="1"/>
  <c r="C37" i="1"/>
  <c r="O43" i="1"/>
  <c r="C19" i="1"/>
  <c r="N21" i="1"/>
  <c r="M10" i="1"/>
  <c r="N16" i="1"/>
  <c r="S15" i="1"/>
  <c r="I32" i="1"/>
  <c r="S7" i="1"/>
  <c r="I26" i="1"/>
  <c r="J30" i="1"/>
  <c r="N42" i="1"/>
  <c r="O32" i="1"/>
  <c r="E7" i="1"/>
  <c r="C20" i="1"/>
  <c r="C27" i="1"/>
  <c r="E4" i="1"/>
  <c r="C39" i="1"/>
  <c r="I15" i="1"/>
  <c r="S4" i="1"/>
  <c r="S9" i="1"/>
  <c r="R6" i="1"/>
  <c r="O16" i="1"/>
  <c r="N32" i="1"/>
  <c r="M42" i="1"/>
  <c r="T41" i="1"/>
  <c r="R18" i="1"/>
  <c r="J5" i="1"/>
  <c r="H17" i="1"/>
  <c r="T8" i="1"/>
  <c r="C17" i="1"/>
  <c r="H28" i="1"/>
  <c r="I43" i="1"/>
  <c r="T7" i="1"/>
  <c r="M20" i="1"/>
  <c r="O27" i="1"/>
  <c r="I39" i="1"/>
  <c r="C26" i="1"/>
  <c r="O28" i="1"/>
  <c r="T5" i="1"/>
  <c r="H30" i="1"/>
  <c r="I37" i="1"/>
  <c r="C32" i="1"/>
  <c r="M28" i="1"/>
  <c r="O7" i="1"/>
  <c r="H20" i="1"/>
  <c r="O26" i="1"/>
  <c r="J38" i="1"/>
  <c r="T43" i="1"/>
  <c r="S43" i="1"/>
  <c r="R43" i="1"/>
  <c r="E30" i="1"/>
  <c r="H29" i="1"/>
  <c r="H15" i="1"/>
  <c r="O40" i="1"/>
  <c r="O37" i="1"/>
  <c r="N40" i="1"/>
  <c r="N37" i="1"/>
  <c r="T31" i="1"/>
  <c r="T28" i="1"/>
  <c r="T9" i="1"/>
  <c r="O5" i="1"/>
  <c r="S39" i="1"/>
  <c r="H38" i="1"/>
  <c r="E26" i="1"/>
  <c r="R20" i="1"/>
  <c r="J8" i="1"/>
  <c r="M18" i="1"/>
  <c r="R27" i="1"/>
  <c r="H32" i="1"/>
  <c r="J32" i="1"/>
  <c r="H40" i="1"/>
  <c r="D38" i="1"/>
  <c r="D41" i="1"/>
  <c r="E38" i="1"/>
  <c r="E41" i="1"/>
  <c r="N27" i="1"/>
  <c r="N30" i="1"/>
  <c r="N15" i="1"/>
  <c r="N17" i="1"/>
  <c r="N18" i="1"/>
  <c r="N20" i="1"/>
  <c r="M4" i="1"/>
  <c r="M6" i="1"/>
  <c r="M7" i="1"/>
  <c r="M9" i="1"/>
  <c r="I28" i="1"/>
  <c r="I31" i="1"/>
  <c r="J16" i="1"/>
  <c r="J19" i="1"/>
  <c r="J21" i="1"/>
  <c r="I5" i="1"/>
  <c r="K5" i="1" s="1"/>
  <c r="S31" i="1"/>
  <c r="J20" i="1"/>
  <c r="D8" i="1"/>
  <c r="N28" i="1"/>
  <c r="O29" i="1"/>
  <c r="M32" i="1"/>
  <c r="J43" i="1"/>
  <c r="O10" i="1"/>
  <c r="H27" i="1"/>
  <c r="O30" i="1"/>
  <c r="I42" i="1"/>
  <c r="C29" i="1"/>
  <c r="R38" i="1"/>
  <c r="J9" i="1"/>
  <c r="I40" i="1"/>
  <c r="E9" i="1"/>
  <c r="R32" i="1"/>
  <c r="J10" i="1"/>
  <c r="R26" i="1"/>
  <c r="M40" i="1"/>
  <c r="J41" i="1"/>
  <c r="T42" i="1"/>
  <c r="T39" i="1"/>
  <c r="S41" i="1"/>
  <c r="H41" i="1"/>
  <c r="H26" i="1"/>
  <c r="O9" i="1"/>
  <c r="N43" i="1"/>
  <c r="M43" i="1"/>
  <c r="H39" i="1"/>
  <c r="T30" i="1"/>
  <c r="T27" i="1"/>
  <c r="O8" i="1"/>
  <c r="J4" i="1"/>
  <c r="S37" i="1"/>
  <c r="E31" i="1"/>
  <c r="M30" i="1"/>
  <c r="H18" i="1"/>
  <c r="C31" i="1"/>
  <c r="R19" i="1"/>
  <c r="J26" i="1"/>
  <c r="J29" i="1"/>
  <c r="H37" i="1"/>
  <c r="M41" i="1"/>
  <c r="D39" i="1"/>
  <c r="D42" i="1"/>
  <c r="E39" i="1"/>
  <c r="E42" i="1"/>
  <c r="D28" i="1"/>
  <c r="D31" i="1"/>
  <c r="I16" i="1"/>
  <c r="I19" i="1"/>
  <c r="I21" i="1"/>
  <c r="H5" i="1"/>
  <c r="H8" i="1"/>
  <c r="H10" i="1"/>
  <c r="S32" i="1"/>
  <c r="T16" i="1"/>
  <c r="T19" i="1"/>
  <c r="T21" i="1"/>
  <c r="S5" i="1"/>
  <c r="E16" i="1"/>
  <c r="R4" i="1"/>
  <c r="H9" i="1"/>
  <c r="S29" i="1"/>
  <c r="C28" i="1"/>
  <c r="H43" i="1"/>
  <c r="O6" i="1"/>
  <c r="M31" i="1"/>
  <c r="R41" i="1"/>
  <c r="J42" i="1"/>
  <c r="R29" i="1"/>
  <c r="R21" i="1"/>
  <c r="J40" i="1"/>
  <c r="H19" i="1"/>
  <c r="J6" i="1"/>
  <c r="H31" i="1"/>
  <c r="I41" i="1"/>
  <c r="C21" i="1"/>
  <c r="T40" i="1"/>
  <c r="T37" i="1"/>
  <c r="S38" i="1"/>
  <c r="E32" i="1"/>
  <c r="R31" i="1"/>
  <c r="R17" i="1"/>
  <c r="O41" i="1"/>
  <c r="O38" i="1"/>
  <c r="N41" i="1"/>
  <c r="N38" i="1"/>
  <c r="R40" i="1"/>
  <c r="T32" i="1"/>
  <c r="M15" i="1"/>
  <c r="T6" i="1"/>
  <c r="S40" i="1"/>
  <c r="E28" i="1"/>
  <c r="M27" i="1"/>
  <c r="T10" i="1"/>
  <c r="M26" i="1"/>
  <c r="R30" i="1"/>
  <c r="J28" i="1"/>
  <c r="J31" i="1"/>
  <c r="D37" i="1"/>
  <c r="D40" i="1"/>
  <c r="E37" i="1"/>
  <c r="E40" i="1"/>
  <c r="D26" i="1"/>
  <c r="D29" i="1"/>
  <c r="D15" i="1"/>
  <c r="D17" i="1"/>
  <c r="D18" i="1"/>
  <c r="D20" i="1"/>
  <c r="C4" i="1"/>
  <c r="C6" i="1"/>
  <c r="C7" i="1"/>
  <c r="C9" i="1"/>
  <c r="S27" i="1"/>
  <c r="S30" i="1"/>
  <c r="O15" i="1"/>
  <c r="O17" i="1"/>
  <c r="O18" i="1"/>
  <c r="O20" i="1"/>
  <c r="N4" i="1"/>
  <c r="N6" i="1"/>
  <c r="I30" i="1"/>
  <c r="I18" i="1"/>
  <c r="D7" i="1"/>
  <c r="S10" i="1"/>
  <c r="I17" i="1"/>
  <c r="H7" i="1"/>
  <c r="N10" i="1"/>
  <c r="N26" i="1"/>
  <c r="D30" i="1"/>
  <c r="D16" i="1"/>
  <c r="N19" i="1"/>
  <c r="C5" i="1"/>
  <c r="C8" i="1"/>
  <c r="D10" i="1"/>
  <c r="D27" i="1"/>
  <c r="E8" i="1"/>
  <c r="E6" i="1"/>
  <c r="C16" i="1"/>
  <c r="O42" i="1"/>
  <c r="C43" i="1"/>
  <c r="N9" i="1"/>
  <c r="J17" i="1"/>
  <c r="I9" i="1"/>
  <c r="S8" i="1"/>
  <c r="O19" i="1"/>
  <c r="R9" i="1"/>
  <c r="I20" i="1"/>
  <c r="J15" i="1"/>
  <c r="K15" i="1" s="1"/>
  <c r="C10" i="1"/>
  <c r="E19" i="1"/>
  <c r="I8" i="1"/>
  <c r="H4" i="1"/>
  <c r="D19" i="1"/>
  <c r="T17" i="1"/>
  <c r="E20" i="1"/>
  <c r="I29" i="1"/>
  <c r="R5" i="1"/>
  <c r="S16" i="1"/>
  <c r="M38" i="1"/>
  <c r="H21" i="1"/>
  <c r="E29" i="1"/>
  <c r="T26" i="1"/>
  <c r="N39" i="1"/>
  <c r="M19" i="1"/>
  <c r="T38" i="1"/>
  <c r="J37" i="1"/>
  <c r="M21" i="1"/>
  <c r="H16" i="1"/>
  <c r="D5" i="1"/>
  <c r="N29" i="1"/>
  <c r="N8" i="1"/>
  <c r="I4" i="1"/>
  <c r="N31" i="1"/>
  <c r="N5" i="1"/>
  <c r="D32" i="1"/>
  <c r="J18" i="1"/>
  <c r="M5" i="1"/>
  <c r="I10" i="1"/>
  <c r="D6" i="1"/>
  <c r="E17" i="1"/>
  <c r="R8" i="1"/>
  <c r="S19" i="1"/>
  <c r="J27" i="1"/>
  <c r="M16" i="1"/>
  <c r="S42" i="1"/>
  <c r="R37" i="1"/>
  <c r="O39" i="1"/>
  <c r="M39" i="1"/>
  <c r="C38" i="1"/>
  <c r="O4" i="1"/>
  <c r="M17" i="1"/>
  <c r="M37" i="1"/>
  <c r="O31" i="1"/>
  <c r="D21" i="1"/>
  <c r="R10" i="1"/>
  <c r="N7" i="1"/>
  <c r="O21" i="1"/>
  <c r="S17" i="1"/>
  <c r="S26" i="1"/>
  <c r="T20" i="1"/>
  <c r="S28" i="1"/>
  <c r="I7" i="1"/>
  <c r="E21" i="1"/>
  <c r="S6" i="1"/>
  <c r="D4" i="1"/>
  <c r="E15" i="1"/>
  <c r="E43" i="1"/>
  <c r="R42" i="1"/>
  <c r="M29" i="1"/>
  <c r="R28" i="1"/>
  <c r="J7" i="1"/>
  <c r="H42" i="1"/>
  <c r="I38" i="1"/>
  <c r="C42" i="1"/>
  <c r="J4" i="7"/>
  <c r="M36" i="1"/>
  <c r="T3" i="1"/>
  <c r="I36" i="1"/>
  <c r="H3" i="1"/>
  <c r="H36" i="1"/>
  <c r="N36" i="1"/>
  <c r="D36" i="1"/>
  <c r="S36" i="1"/>
  <c r="E36" i="1"/>
  <c r="R3" i="1"/>
  <c r="O36" i="1"/>
  <c r="I3" i="1"/>
  <c r="C3" i="1"/>
  <c r="E3" i="1"/>
  <c r="J3" i="1"/>
  <c r="M3" i="1"/>
  <c r="O3" i="1"/>
  <c r="C36" i="1"/>
  <c r="J36" i="1"/>
  <c r="R36" i="1"/>
  <c r="D3" i="1"/>
  <c r="N3" i="1"/>
  <c r="T36" i="1"/>
  <c r="S3" i="1"/>
  <c r="J25" i="1"/>
  <c r="O25" i="1"/>
  <c r="N25" i="1"/>
  <c r="H25" i="1"/>
  <c r="E25" i="1"/>
  <c r="T25" i="1"/>
  <c r="I25" i="1"/>
  <c r="M25" i="1"/>
  <c r="R25" i="1"/>
  <c r="C25" i="1"/>
  <c r="S25" i="1"/>
  <c r="D25" i="1"/>
  <c r="H14" i="1"/>
  <c r="D14" i="1"/>
  <c r="E14" i="1"/>
  <c r="J14" i="1"/>
  <c r="M14" i="1"/>
  <c r="C14" i="1"/>
  <c r="T14" i="1"/>
  <c r="S14" i="1"/>
  <c r="I14" i="1"/>
  <c r="R14" i="1"/>
  <c r="N14" i="1"/>
  <c r="O14" i="1"/>
  <c r="C4" i="2"/>
  <c r="BA14" i="7"/>
  <c r="F14" i="7"/>
  <c r="J21" i="7" l="1"/>
  <c r="J17" i="7"/>
  <c r="BB17" i="7" s="1"/>
  <c r="J18" i="7"/>
  <c r="J14" i="7"/>
  <c r="BB14" i="7" s="1"/>
  <c r="J20" i="7"/>
  <c r="BB20" i="7" s="1"/>
  <c r="J16" i="7"/>
  <c r="BB16" i="7" s="1"/>
  <c r="J19" i="7"/>
  <c r="J15" i="7"/>
  <c r="BB15" i="7" s="1"/>
  <c r="P43" i="1"/>
  <c r="U29" i="1"/>
  <c r="P32" i="1"/>
  <c r="K27" i="1"/>
  <c r="U37" i="1"/>
  <c r="U30" i="1"/>
  <c r="U4" i="1"/>
  <c r="K28" i="1"/>
  <c r="P10" i="1"/>
  <c r="K31" i="1"/>
  <c r="S11" i="7"/>
  <c r="M4" i="7"/>
  <c r="I21" i="7"/>
  <c r="BB21" i="7"/>
  <c r="U32" i="1"/>
  <c r="X21" i="1"/>
  <c r="W6" i="1"/>
  <c r="Y6" i="1" s="1"/>
  <c r="X32" i="1"/>
  <c r="W39" i="1"/>
  <c r="Y39" i="1" s="1"/>
  <c r="X6" i="1"/>
  <c r="W29" i="1"/>
  <c r="Y29" i="1" s="1"/>
  <c r="X28" i="1"/>
  <c r="W28" i="1"/>
  <c r="Y28" i="1" s="1"/>
  <c r="W17" i="1"/>
  <c r="Y17" i="1" s="1"/>
  <c r="X17" i="1"/>
  <c r="W40" i="1"/>
  <c r="Y40" i="1" s="1"/>
  <c r="W7" i="1"/>
  <c r="Y7" i="1" s="1"/>
  <c r="X18" i="1"/>
  <c r="X29" i="1"/>
  <c r="W18" i="1"/>
  <c r="Y18" i="1" s="1"/>
  <c r="X15" i="1"/>
  <c r="W4" i="1"/>
  <c r="Y4" i="1" s="1"/>
  <c r="W15" i="1"/>
  <c r="Y15" i="1" s="1"/>
  <c r="W37" i="1"/>
  <c r="Y37" i="1" s="1"/>
  <c r="W26" i="1"/>
  <c r="Y26" i="1" s="1"/>
  <c r="W9" i="1"/>
  <c r="Y9" i="1" s="1"/>
  <c r="X31" i="1"/>
  <c r="W20" i="1"/>
  <c r="Y20" i="1" s="1"/>
  <c r="X9" i="1"/>
  <c r="W42" i="1"/>
  <c r="Y42" i="1" s="1"/>
  <c r="W31" i="1"/>
  <c r="Y31" i="1" s="1"/>
  <c r="X20" i="1"/>
  <c r="W43" i="1"/>
  <c r="Y43" i="1" s="1"/>
  <c r="W32" i="1"/>
  <c r="Y32" i="1" s="1"/>
  <c r="X43" i="1"/>
  <c r="W10" i="1"/>
  <c r="Y10" i="1" s="1"/>
  <c r="W21" i="1"/>
  <c r="Y21" i="1" s="1"/>
  <c r="W5" i="1"/>
  <c r="Y5" i="1" s="1"/>
  <c r="W38" i="1"/>
  <c r="Y38" i="1" s="1"/>
  <c r="W16" i="1"/>
  <c r="Y16" i="1" s="1"/>
  <c r="W27" i="1"/>
  <c r="Y27" i="1" s="1"/>
  <c r="U21" i="1"/>
  <c r="K38" i="1"/>
  <c r="I19" i="7"/>
  <c r="BB18" i="7"/>
  <c r="I18" i="7"/>
  <c r="BB19" i="7"/>
  <c r="I16" i="7"/>
  <c r="I15" i="7"/>
  <c r="I17" i="7"/>
  <c r="I20" i="7"/>
  <c r="U10" i="1"/>
  <c r="U18" i="1"/>
  <c r="W8" i="1"/>
  <c r="Y8" i="1" s="1"/>
  <c r="X19" i="1"/>
  <c r="U15" i="1"/>
  <c r="P5" i="1"/>
  <c r="K6" i="1"/>
  <c r="W19" i="1"/>
  <c r="Y19" i="1" s="1"/>
  <c r="W30" i="1"/>
  <c r="Y30" i="1" s="1"/>
  <c r="X8" i="1"/>
  <c r="W41" i="1"/>
  <c r="Y41" i="1" s="1"/>
  <c r="P9" i="7"/>
  <c r="K39" i="1"/>
  <c r="X30" i="1"/>
  <c r="K26" i="1"/>
  <c r="U42" i="1"/>
  <c r="K42" i="1"/>
  <c r="K10" i="1"/>
  <c r="K16" i="1"/>
  <c r="P7" i="1"/>
  <c r="K8" i="1"/>
  <c r="U9" i="1"/>
  <c r="K9" i="1"/>
  <c r="P26" i="1"/>
  <c r="P17" i="1"/>
  <c r="P28" i="1"/>
  <c r="K30" i="1"/>
  <c r="P20" i="1"/>
  <c r="U7" i="1"/>
  <c r="P18" i="1"/>
  <c r="F6" i="1"/>
  <c r="K29" i="1"/>
  <c r="U41" i="1"/>
  <c r="U31" i="1"/>
  <c r="K21" i="1"/>
  <c r="F18" i="1"/>
  <c r="U40" i="1"/>
  <c r="K20" i="1"/>
  <c r="K41" i="1"/>
  <c r="U19" i="1"/>
  <c r="U27" i="1"/>
  <c r="K40" i="1"/>
  <c r="P30" i="1"/>
  <c r="P6" i="1"/>
  <c r="U20" i="1"/>
  <c r="F8" i="1"/>
  <c r="K4" i="1"/>
  <c r="U16" i="1"/>
  <c r="X7" i="1"/>
  <c r="F7" i="1"/>
  <c r="F28" i="1"/>
  <c r="U17" i="1"/>
  <c r="P9" i="1"/>
  <c r="K19" i="1"/>
  <c r="P42" i="1"/>
  <c r="K32" i="1"/>
  <c r="X10" i="1"/>
  <c r="U28" i="1"/>
  <c r="P21" i="1"/>
  <c r="P29" i="1"/>
  <c r="F9" i="1"/>
  <c r="X5" i="1"/>
  <c r="U26" i="1"/>
  <c r="U8" i="1"/>
  <c r="P15" i="1"/>
  <c r="F16" i="1"/>
  <c r="F21" i="1"/>
  <c r="P8" i="1"/>
  <c r="F31" i="1"/>
  <c r="F32" i="1"/>
  <c r="F10" i="1"/>
  <c r="F19" i="1"/>
  <c r="F29" i="1"/>
  <c r="X16" i="1"/>
  <c r="P4" i="1"/>
  <c r="P40" i="1"/>
  <c r="K7" i="1"/>
  <c r="F4" i="1"/>
  <c r="F30" i="1"/>
  <c r="F15" i="1"/>
  <c r="P16" i="1"/>
  <c r="F17" i="1"/>
  <c r="P19" i="1"/>
  <c r="K17" i="1"/>
  <c r="P41" i="1"/>
  <c r="F39" i="1"/>
  <c r="X39" i="1"/>
  <c r="P37" i="1"/>
  <c r="U43" i="1"/>
  <c r="X4" i="1"/>
  <c r="F5" i="1"/>
  <c r="P31" i="1"/>
  <c r="P39" i="1"/>
  <c r="F40" i="1"/>
  <c r="X40" i="1"/>
  <c r="K37" i="1"/>
  <c r="X27" i="1"/>
  <c r="F27" i="1"/>
  <c r="X26" i="1"/>
  <c r="F26" i="1"/>
  <c r="X37" i="1"/>
  <c r="F37" i="1"/>
  <c r="U6" i="1"/>
  <c r="U38" i="1"/>
  <c r="F41" i="1"/>
  <c r="X41" i="1"/>
  <c r="U39" i="1"/>
  <c r="K43" i="1"/>
  <c r="F20" i="1"/>
  <c r="K18" i="1"/>
  <c r="P38" i="1"/>
  <c r="F42" i="1"/>
  <c r="X42" i="1"/>
  <c r="X38" i="1"/>
  <c r="F38" i="1"/>
  <c r="U5" i="1"/>
  <c r="P27" i="1"/>
  <c r="F43" i="1"/>
  <c r="W25" i="1"/>
  <c r="Y25" i="1" s="1"/>
  <c r="U25" i="1"/>
  <c r="P25" i="1"/>
  <c r="K14" i="1"/>
  <c r="U3" i="1"/>
  <c r="P14" i="1"/>
  <c r="I14" i="7"/>
  <c r="U14" i="1"/>
  <c r="F3" i="1"/>
  <c r="X3" i="1"/>
  <c r="K36" i="1"/>
  <c r="W14" i="1"/>
  <c r="Y14" i="1" s="1"/>
  <c r="W36" i="1"/>
  <c r="Y36" i="1" s="1"/>
  <c r="F36" i="1"/>
  <c r="X36" i="1"/>
  <c r="X14" i="1"/>
  <c r="F14" i="1"/>
  <c r="X25" i="1"/>
  <c r="F25" i="1"/>
  <c r="W3" i="1"/>
  <c r="Y3" i="1" s="1"/>
  <c r="P36" i="1"/>
  <c r="K25" i="1"/>
  <c r="P3" i="1"/>
  <c r="K3" i="1"/>
  <c r="U36" i="1"/>
  <c r="M21" i="7" l="1"/>
  <c r="M17" i="7"/>
  <c r="BC17" i="7" s="1"/>
  <c r="M20" i="7"/>
  <c r="BC20" i="7" s="1"/>
  <c r="M16" i="7"/>
  <c r="BC16" i="7" s="1"/>
  <c r="M14" i="7"/>
  <c r="BC14" i="7" s="1"/>
  <c r="M19" i="7"/>
  <c r="BC19" i="7" s="1"/>
  <c r="M15" i="7"/>
  <c r="BC15" i="7" s="1"/>
  <c r="M18" i="7"/>
  <c r="BC18" i="7" s="1"/>
  <c r="L18" i="7"/>
  <c r="L19" i="7"/>
  <c r="L17" i="7"/>
  <c r="L16" i="7"/>
  <c r="L15" i="7"/>
  <c r="L20" i="7"/>
  <c r="P4" i="7"/>
  <c r="L21" i="7"/>
  <c r="BC21" i="7"/>
  <c r="V11" i="7"/>
  <c r="AA39" i="1"/>
  <c r="AA6" i="1"/>
  <c r="AA17" i="1"/>
  <c r="AA28" i="1"/>
  <c r="AA40" i="1"/>
  <c r="AA18" i="1"/>
  <c r="AA29" i="1"/>
  <c r="AA7" i="1"/>
  <c r="AA26" i="1"/>
  <c r="AA4" i="1"/>
  <c r="AA37" i="1"/>
  <c r="AA15" i="1"/>
  <c r="AA42" i="1"/>
  <c r="AA20" i="1"/>
  <c r="AA31" i="1"/>
  <c r="AA9" i="1"/>
  <c r="AA21" i="1"/>
  <c r="AA10" i="1"/>
  <c r="AA32" i="1"/>
  <c r="AA43" i="1"/>
  <c r="AA38" i="1"/>
  <c r="AA16" i="1"/>
  <c r="AA5" i="1"/>
  <c r="AA27" i="1"/>
  <c r="AA30" i="1"/>
  <c r="AA41" i="1"/>
  <c r="AA19" i="1"/>
  <c r="AA8" i="1"/>
  <c r="S9" i="7"/>
  <c r="AA25" i="1"/>
  <c r="AA3" i="1"/>
  <c r="AA14" i="1"/>
  <c r="L14" i="7"/>
  <c r="AA36" i="1"/>
  <c r="O18" i="7" l="1"/>
  <c r="P21" i="7"/>
  <c r="P17" i="7"/>
  <c r="BD17" i="7" s="1"/>
  <c r="P18" i="7"/>
  <c r="BD18" i="7" s="1"/>
  <c r="P20" i="7"/>
  <c r="BD20" i="7" s="1"/>
  <c r="P16" i="7"/>
  <c r="BD16" i="7" s="1"/>
  <c r="P19" i="7"/>
  <c r="BD19" i="7" s="1"/>
  <c r="P15" i="7"/>
  <c r="BD15" i="7" s="1"/>
  <c r="P14" i="7"/>
  <c r="BD14" i="7" s="1"/>
  <c r="O15" i="7"/>
  <c r="O16" i="7"/>
  <c r="O19" i="7"/>
  <c r="S4" i="7"/>
  <c r="BD21" i="7"/>
  <c r="O21" i="7"/>
  <c r="O17" i="7"/>
  <c r="Y11" i="7"/>
  <c r="O20" i="7"/>
  <c r="V9" i="7"/>
  <c r="O14" i="7"/>
  <c r="S21" i="7" l="1"/>
  <c r="BE21" i="7" s="1"/>
  <c r="S17" i="7"/>
  <c r="BE17" i="7" s="1"/>
  <c r="S20" i="7"/>
  <c r="BE20" i="7" s="1"/>
  <c r="S16" i="7"/>
  <c r="BE16" i="7" s="1"/>
  <c r="S18" i="7"/>
  <c r="BE18" i="7" s="1"/>
  <c r="S19" i="7"/>
  <c r="BE19" i="7" s="1"/>
  <c r="S15" i="7"/>
  <c r="BE15" i="7" s="1"/>
  <c r="S14" i="7"/>
  <c r="BE14" i="7" s="1"/>
  <c r="R16" i="7"/>
  <c r="R20" i="7"/>
  <c r="R15" i="7"/>
  <c r="V4" i="7"/>
  <c r="R21" i="7"/>
  <c r="R19" i="7"/>
  <c r="R18" i="7"/>
  <c r="AB11" i="7"/>
  <c r="R17" i="7"/>
  <c r="Y9" i="7"/>
  <c r="R14" i="7"/>
  <c r="U17" i="7" l="1"/>
  <c r="V21" i="7"/>
  <c r="BF21" i="7" s="1"/>
  <c r="V17" i="7"/>
  <c r="BF17" i="7" s="1"/>
  <c r="V18" i="7"/>
  <c r="BF18" i="7" s="1"/>
  <c r="V20" i="7"/>
  <c r="BF20" i="7" s="1"/>
  <c r="V16" i="7"/>
  <c r="BF16" i="7" s="1"/>
  <c r="V19" i="7"/>
  <c r="BF19" i="7" s="1"/>
  <c r="V15" i="7"/>
  <c r="BF15" i="7" s="1"/>
  <c r="V14" i="7"/>
  <c r="BF14" i="7" s="1"/>
  <c r="U20" i="7"/>
  <c r="Y4" i="7"/>
  <c r="U21" i="7"/>
  <c r="U19" i="7"/>
  <c r="U18" i="7"/>
  <c r="AE11" i="7"/>
  <c r="U16" i="7"/>
  <c r="U15" i="7"/>
  <c r="AB9" i="7"/>
  <c r="X19" i="7"/>
  <c r="U14" i="7"/>
  <c r="X15" i="7" l="1"/>
  <c r="Y21" i="7"/>
  <c r="BG21" i="7" s="1"/>
  <c r="Y17" i="7"/>
  <c r="BG17" i="7" s="1"/>
  <c r="Y14" i="7"/>
  <c r="BG14" i="7" s="1"/>
  <c r="Y20" i="7"/>
  <c r="BG20" i="7" s="1"/>
  <c r="Y16" i="7"/>
  <c r="BG16" i="7" s="1"/>
  <c r="Y19" i="7"/>
  <c r="BG19" i="7" s="1"/>
  <c r="Y15" i="7"/>
  <c r="BG15" i="7" s="1"/>
  <c r="Y18" i="7"/>
  <c r="BG18" i="7" s="1"/>
  <c r="X16" i="7"/>
  <c r="X18" i="7"/>
  <c r="X20" i="7"/>
  <c r="X17" i="7"/>
  <c r="AH11" i="7"/>
  <c r="AB4" i="7"/>
  <c r="AA18" i="7" s="1"/>
  <c r="X21" i="7"/>
  <c r="AE9" i="7"/>
  <c r="X14" i="7"/>
  <c r="AB21" i="7" l="1"/>
  <c r="BH21" i="7" s="1"/>
  <c r="AB17" i="7"/>
  <c r="AB14" i="7"/>
  <c r="BH14" i="7" s="1"/>
  <c r="AB20" i="7"/>
  <c r="BH20" i="7" s="1"/>
  <c r="AB16" i="7"/>
  <c r="BH16" i="7" s="1"/>
  <c r="AB18" i="7"/>
  <c r="BH18" i="7" s="1"/>
  <c r="AB19" i="7"/>
  <c r="AB15" i="7"/>
  <c r="BH15" i="7" s="1"/>
  <c r="AA19" i="7"/>
  <c r="BH17" i="7"/>
  <c r="AA17" i="7"/>
  <c r="AA16" i="7"/>
  <c r="AA15" i="7"/>
  <c r="AA20" i="7"/>
  <c r="BH19" i="7"/>
  <c r="AK11" i="7"/>
  <c r="AE4" i="7"/>
  <c r="AA21" i="7"/>
  <c r="AH9" i="7"/>
  <c r="AA14" i="7"/>
  <c r="AE21" i="7" l="1"/>
  <c r="BI21" i="7" s="1"/>
  <c r="AE17" i="7"/>
  <c r="BI17" i="7" s="1"/>
  <c r="AE14" i="7"/>
  <c r="BI14" i="7" s="1"/>
  <c r="AE20" i="7"/>
  <c r="BI20" i="7" s="1"/>
  <c r="AE16" i="7"/>
  <c r="BI16" i="7" s="1"/>
  <c r="AE19" i="7"/>
  <c r="BI19" i="7" s="1"/>
  <c r="AE15" i="7"/>
  <c r="BI15" i="7" s="1"/>
  <c r="AE18" i="7"/>
  <c r="BI18" i="7" s="1"/>
  <c r="AD20" i="7"/>
  <c r="AD19" i="7"/>
  <c r="AD18" i="7"/>
  <c r="AD17" i="7"/>
  <c r="AD16" i="7"/>
  <c r="AD15" i="7"/>
  <c r="AH4" i="7"/>
  <c r="AD21" i="7"/>
  <c r="AN11" i="7"/>
  <c r="AK9" i="7"/>
  <c r="AD14" i="7"/>
  <c r="AH21" i="7" l="1"/>
  <c r="BJ21" i="7" s="1"/>
  <c r="AH17" i="7"/>
  <c r="BJ17" i="7" s="1"/>
  <c r="AH18" i="7"/>
  <c r="BJ18" i="7" s="1"/>
  <c r="AH20" i="7"/>
  <c r="BJ20" i="7" s="1"/>
  <c r="AH16" i="7"/>
  <c r="BJ16" i="7" s="1"/>
  <c r="AH19" i="7"/>
  <c r="BJ19" i="7" s="1"/>
  <c r="AH15" i="7"/>
  <c r="BJ15" i="7" s="1"/>
  <c r="AH14" i="7"/>
  <c r="BJ14" i="7" s="1"/>
  <c r="AG20" i="7"/>
  <c r="AG16" i="7"/>
  <c r="AG15" i="7"/>
  <c r="AG19" i="7"/>
  <c r="AG18" i="7"/>
  <c r="AG17" i="7"/>
  <c r="AQ11" i="7"/>
  <c r="AK4" i="7"/>
  <c r="AG21" i="7"/>
  <c r="AN9" i="7"/>
  <c r="AG14" i="7"/>
  <c r="AJ15" i="7" l="1"/>
  <c r="AK21" i="7"/>
  <c r="BK21" i="7" s="1"/>
  <c r="AK17" i="7"/>
  <c r="BK17" i="7" s="1"/>
  <c r="AK20" i="7"/>
  <c r="BK20" i="7" s="1"/>
  <c r="AK16" i="7"/>
  <c r="BK16" i="7" s="1"/>
  <c r="AK14" i="7"/>
  <c r="BK14" i="7" s="1"/>
  <c r="AK19" i="7"/>
  <c r="BK19" i="7" s="1"/>
  <c r="AK15" i="7"/>
  <c r="BK15" i="7" s="1"/>
  <c r="AK18" i="7"/>
  <c r="BK18" i="7" s="1"/>
  <c r="AJ16" i="7"/>
  <c r="AJ20" i="7"/>
  <c r="AJ18" i="7"/>
  <c r="AJ19" i="7"/>
  <c r="AJ17" i="7"/>
  <c r="AN4" i="7"/>
  <c r="AJ21" i="7"/>
  <c r="AT11" i="7"/>
  <c r="AQ9" i="7"/>
  <c r="AJ14" i="7"/>
  <c r="AN21" i="7" l="1"/>
  <c r="BL21" i="7" s="1"/>
  <c r="AN17" i="7"/>
  <c r="BL17" i="7" s="1"/>
  <c r="AN18" i="7"/>
  <c r="BL18" i="7" s="1"/>
  <c r="AN20" i="7"/>
  <c r="BL20" i="7" s="1"/>
  <c r="AN16" i="7"/>
  <c r="BL16" i="7" s="1"/>
  <c r="AN19" i="7"/>
  <c r="BL19" i="7" s="1"/>
  <c r="AN15" i="7"/>
  <c r="BL15" i="7" s="1"/>
  <c r="AN14" i="7"/>
  <c r="BL14" i="7" s="1"/>
  <c r="AM19" i="7"/>
  <c r="AM16" i="7"/>
  <c r="AM18" i="7"/>
  <c r="AM15" i="7"/>
  <c r="AM17" i="7"/>
  <c r="AM20" i="7"/>
  <c r="AW11" i="7"/>
  <c r="AQ4" i="7"/>
  <c r="AM21" i="7"/>
  <c r="AT9" i="7"/>
  <c r="AM14" i="7"/>
  <c r="AP17" i="7" l="1"/>
  <c r="AQ21" i="7"/>
  <c r="BM21" i="7" s="1"/>
  <c r="AQ17" i="7"/>
  <c r="BM17" i="7" s="1"/>
  <c r="AQ18" i="7"/>
  <c r="BM18" i="7" s="1"/>
  <c r="AQ20" i="7"/>
  <c r="BM20" i="7" s="1"/>
  <c r="AQ16" i="7"/>
  <c r="BM16" i="7" s="1"/>
  <c r="AQ19" i="7"/>
  <c r="BM19" i="7" s="1"/>
  <c r="AQ15" i="7"/>
  <c r="BM15" i="7" s="1"/>
  <c r="AQ14" i="7"/>
  <c r="BM14" i="7" s="1"/>
  <c r="AP16" i="7"/>
  <c r="AP15" i="7"/>
  <c r="AP20" i="7"/>
  <c r="AP19" i="7"/>
  <c r="AP18" i="7"/>
  <c r="AT4" i="7"/>
  <c r="AP21" i="7"/>
  <c r="AW9" i="7"/>
  <c r="AP14" i="7"/>
  <c r="AT21" i="7" l="1"/>
  <c r="BN21" i="7" s="1"/>
  <c r="AT17" i="7"/>
  <c r="AT20" i="7"/>
  <c r="BN20" i="7" s="1"/>
  <c r="AT16" i="7"/>
  <c r="BN16" i="7" s="1"/>
  <c r="AT18" i="7"/>
  <c r="BN18" i="7" s="1"/>
  <c r="AT19" i="7"/>
  <c r="BN19" i="7" s="1"/>
  <c r="AT15" i="7"/>
  <c r="BN15" i="7" s="1"/>
  <c r="AT14" i="7"/>
  <c r="BN14" i="7" s="1"/>
  <c r="AS20" i="7"/>
  <c r="AS16" i="7"/>
  <c r="AS15" i="7"/>
  <c r="AS19" i="7"/>
  <c r="AS18" i="7"/>
  <c r="BN17" i="7"/>
  <c r="AS17" i="7"/>
  <c r="AW4" i="7"/>
  <c r="AS21" i="7"/>
  <c r="AS14" i="7"/>
  <c r="AW21" i="7" l="1"/>
  <c r="BO21" i="7" s="1"/>
  <c r="AW17" i="7"/>
  <c r="AW14" i="7"/>
  <c r="BO14" i="7" s="1"/>
  <c r="AW20" i="7"/>
  <c r="BO20" i="7" s="1"/>
  <c r="AW16" i="7"/>
  <c r="BO16" i="7" s="1"/>
  <c r="AW19" i="7"/>
  <c r="BO19" i="7" s="1"/>
  <c r="AW15" i="7"/>
  <c r="BO15" i="7" s="1"/>
  <c r="AW18" i="7"/>
  <c r="BO18" i="7" s="1"/>
  <c r="AV16" i="7"/>
  <c r="AV19" i="7"/>
  <c r="AV18" i="7"/>
  <c r="AV20" i="7"/>
  <c r="BO17" i="7"/>
  <c r="AV15" i="7"/>
  <c r="AV17" i="7"/>
  <c r="AV21" i="7"/>
  <c r="AV14" i="7"/>
</calcChain>
</file>

<file path=xl/sharedStrings.xml><?xml version="1.0" encoding="utf-8"?>
<sst xmlns="http://schemas.openxmlformats.org/spreadsheetml/2006/main" count="506" uniqueCount="93">
  <si>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</si>
  <si>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</si>
  <si>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</si>
  <si>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</si>
  <si>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</si>
  <si>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</si>
  <si>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</si>
  <si>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</si>
  <si>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</si>
  <si>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</si>
  <si>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</si>
  <si>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</si>
  <si>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</si>
  <si>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</si>
  <si>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</si>
  <si>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</si>
  <si>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</si>
  <si>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</si>
  <si>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</si>
  <si>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</si>
  <si>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</si>
  <si>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</si>
  <si>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</si>
  <si>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</si>
  <si>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</si>
  <si>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</si>
  <si>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</si>
  <si>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</si>
  <si>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</si>
  <si>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</si>
  <si>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</si>
  <si>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</si>
  <si>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</si>
  <si>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</si>
  <si>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</si>
  <si>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</si>
  <si>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</si>
  <si>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</si>
  <si>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</si>
  <si>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</si>
  <si>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</si>
  <si>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</si>
  <si>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</si>
  <si>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</si>
  <si>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</si>
  <si>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Count Name</t>
  </si>
  <si>
    <t>Seeding Order</t>
  </si>
  <si>
    <t>Selection Metric?</t>
  </si>
  <si>
    <t>Stage 15</t>
  </si>
  <si>
    <t>Stage 16</t>
  </si>
  <si>
    <t>Stage 1-4</t>
  </si>
  <si>
    <t>Richard Does</t>
  </si>
  <si>
    <t>Glenn Carroll</t>
  </si>
  <si>
    <t>Anthony Mithen</t>
  </si>
  <si>
    <t>David Alcock</t>
  </si>
  <si>
    <t>David Hartley</t>
  </si>
  <si>
    <t>Nick Tobin</t>
  </si>
  <si>
    <t>Simon Tu</t>
  </si>
  <si>
    <t>Shane Fielding</t>
  </si>
  <si>
    <t>Garth Calder</t>
  </si>
  <si>
    <t>Dale Nardella</t>
  </si>
  <si>
    <t>Chris Wade</t>
  </si>
  <si>
    <t>Seed</t>
  </si>
  <si>
    <t>Dion Finocchiaro</t>
  </si>
  <si>
    <t>Tait Ovens</t>
  </si>
  <si>
    <t>Darren Bowden</t>
  </si>
  <si>
    <t>Daniel Hall</t>
  </si>
  <si>
    <t>Tony Langelaan</t>
  </si>
  <si>
    <t>James Howe</t>
  </si>
  <si>
    <t>Scott Smith</t>
  </si>
  <si>
    <t>Chris Wright</t>
  </si>
  <si>
    <t>Matt Adams</t>
  </si>
  <si>
    <t>Scott Stacey</t>
  </si>
  <si>
    <t>Julie-Ann Undrill</t>
  </si>
  <si>
    <t>Andrew Pintar</t>
  </si>
  <si>
    <t>Thai Phan</t>
  </si>
  <si>
    <t>Beata Janetzki</t>
  </si>
  <si>
    <t>Brenton Norman</t>
  </si>
  <si>
    <t>Martin Fry</t>
  </si>
  <si>
    <t>Bao Hoang</t>
  </si>
  <si>
    <t>Hugh Hunter</t>
  </si>
  <si>
    <t>Luke Pengelly</t>
  </si>
  <si>
    <t>Mel Jansen</t>
  </si>
  <si>
    <t>Anna Locarnini</t>
  </si>
  <si>
    <t>Virgin Red</t>
  </si>
  <si>
    <t>Chasing the View</t>
  </si>
  <si>
    <t>Greener Pastures</t>
  </si>
  <si>
    <t>3 Captains and Duff</t>
  </si>
  <si>
    <t>The Golden Bum-Taps</t>
  </si>
  <si>
    <t>Boogie Days</t>
  </si>
  <si>
    <t>Shattered and Sun Burnt</t>
  </si>
  <si>
    <t>From Dr Tu Undertaker</t>
  </si>
  <si>
    <t>Off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</si>
</sst>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"/>
  </numFmts>
  <fonts count="22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  <charset val="2"/>
    </font>
    <font>
      <b/>
      <i/>
      <sz val="10"/>
      <color indexed="12"/>
      <name val="Tahoma"/>
      <family val="2"/>
    </font>
    <font>
      <i/>
      <sz val="10"/>
      <name val="Arial"/>
      <family val="2"/>
    </font>
    <font>
      <b/>
      <i/>
      <sz val="8"/>
      <color indexed="12"/>
      <name val="Tahoma"/>
      <family val="2"/>
    </font>
    <font>
      <sz val="10"/>
      <color indexed="23"/>
      <name val="Tahoma"/>
      <family val="2"/>
    </font>
    <font>
      <u/>
      <sz val="10"/>
      <color indexed="2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2" fontId="4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45" fontId="2" fillId="3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1" fontId="1" fillId="3" borderId="0" xfId="0" applyNumberFormat="1" applyFont="1" applyFill="1" applyAlignment="1" applyProtection="1">
      <alignment horizontal="center"/>
    </xf>
    <xf numFmtId="0" fontId="2" fillId="3" borderId="0" xfId="0" applyFont="1" applyFill="1" applyProtection="1"/>
    <xf numFmtId="2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Protection="1"/>
    <xf numFmtId="0" fontId="4" fillId="4" borderId="1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/>
    </xf>
    <xf numFmtId="21" fontId="1" fillId="4" borderId="3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2" fontId="4" fillId="4" borderId="13" xfId="0" applyNumberFormat="1" applyFont="1" applyFill="1" applyBorder="1" applyAlignment="1" applyProtection="1">
      <alignment horizontal="right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vertical="center"/>
    </xf>
    <xf numFmtId="2" fontId="5" fillId="4" borderId="3" xfId="0" applyNumberFormat="1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vertical="center"/>
      <protection locked="0"/>
    </xf>
    <xf numFmtId="4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45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12" xfId="0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/>
    </xf>
    <xf numFmtId="0" fontId="0" fillId="4" borderId="1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4" fillId="3" borderId="0" xfId="0" applyFont="1" applyFill="1"/>
    <xf numFmtId="0" fontId="4" fillId="3" borderId="0" xfId="0" applyNumberFormat="1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0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2" fontId="8" fillId="3" borderId="0" xfId="0" applyNumberFormat="1" applyFont="1" applyFill="1" applyProtection="1"/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" fillId="4" borderId="12" xfId="0" applyFont="1" applyFill="1" applyBorder="1" applyAlignment="1" applyProtection="1">
      <alignment horizontal="left" vertical="center"/>
    </xf>
    <xf numFmtId="0" fontId="17" fillId="4" borderId="12" xfId="0" applyNumberFormat="1" applyFont="1" applyFill="1" applyBorder="1" applyAlignment="1">
      <alignment horizontal="centerContinuous" vertical="center"/>
    </xf>
    <xf numFmtId="0" fontId="17" fillId="4" borderId="13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/>
    </xf>
    <xf numFmtId="0" fontId="17" fillId="4" borderId="3" xfId="0" applyNumberFormat="1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left"/>
    </xf>
    <xf numFmtId="0" fontId="17" fillId="4" borderId="15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8" fillId="3" borderId="0" xfId="0" applyNumberFormat="1" applyFont="1" applyFill="1" applyAlignment="1">
      <alignment horizontal="left"/>
    </xf>
    <xf numFmtId="0" fontId="18" fillId="3" borderId="0" xfId="0" applyFont="1" applyFill="1"/>
    <xf numFmtId="0" fontId="15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2" fillId="0" borderId="15" xfId="0" applyFont="1" applyFill="1" applyBorder="1" applyAlignment="1" applyProtection="1">
      <alignment vertical="center"/>
      <protection locked="0"/>
    </xf>
    <xf numFmtId="45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21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0" fontId="1" fillId="5" borderId="2" xfId="0" applyFont="1" applyFill="1" applyBorder="1" applyAlignment="1">
      <alignment horizontal="centerContinuous"/>
    </xf>
    <xf numFmtId="164" fontId="1" fillId="5" borderId="4" xfId="0" applyNumberFormat="1" applyFont="1" applyFill="1" applyBorder="1" applyAlignment="1">
      <alignment horizontal="centerContinuous"/>
    </xf>
    <xf numFmtId="2" fontId="1" fillId="5" borderId="4" xfId="0" applyNumberFormat="1" applyFont="1" applyFill="1" applyBorder="1" applyAlignment="1">
      <alignment horizontal="centerContinuous"/>
    </xf>
    <xf numFmtId="164" fontId="1" fillId="5" borderId="5" xfId="0" applyNumberFormat="1" applyFont="1" applyFill="1" applyBorder="1" applyAlignment="1">
      <alignment horizontal="centerContinuous"/>
    </xf>
    <xf numFmtId="0" fontId="2" fillId="5" borderId="0" xfId="0" applyFont="1" applyFill="1"/>
    <xf numFmtId="0" fontId="2" fillId="5" borderId="0" xfId="0" applyFont="1" applyFill="1" applyBorder="1"/>
    <xf numFmtId="2" fontId="2" fillId="5" borderId="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Continuous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9" xfId="0" applyFont="1" applyFill="1" applyBorder="1"/>
    <xf numFmtId="1" fontId="2" fillId="5" borderId="2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1" fontId="2" fillId="5" borderId="4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1" fontId="2" fillId="5" borderId="13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/>
    <xf numFmtId="2" fontId="2" fillId="5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horizontal="centerContinuous"/>
    </xf>
    <xf numFmtId="164" fontId="2" fillId="5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45" fontId="2" fillId="5" borderId="8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center"/>
    </xf>
    <xf numFmtId="45" fontId="2" fillId="6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MMM 5Ms Relay - Teams by Stage</a:t>
            </a:r>
          </a:p>
        </c:rich>
      </c:tx>
      <c:layout>
        <c:manualLayout>
          <c:xMode val="edge"/>
          <c:yMode val="edge"/>
          <c:x val="0.36401240951396069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964E-2"/>
          <c:y val="9.6450091165535212E-2"/>
          <c:w val="0.84833263682755566"/>
          <c:h val="0.70536588284547597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Stage'!$AY$14</c:f>
              <c:strCache>
                <c:ptCount val="1"/>
                <c:pt idx="0">
                  <c:v>Virgin Red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val>
            <c:numRef>
              <c:f>'Teams by Stage'!$AZ$14:$BO$14</c:f>
              <c:numCache>
                <c:formatCode>m:ss</c:formatCode>
                <c:ptCount val="16"/>
                <c:pt idx="0">
                  <c:v>0</c:v>
                </c:pt>
                <c:pt idx="1">
                  <c:v>3.703703703703716E-4</c:v>
                </c:pt>
                <c:pt idx="2">
                  <c:v>1.3888888888888909E-3</c:v>
                </c:pt>
                <c:pt idx="3">
                  <c:v>5.2083333333333148E-4</c:v>
                </c:pt>
                <c:pt idx="4">
                  <c:v>7.8703703703703054E-4</c:v>
                </c:pt>
                <c:pt idx="5">
                  <c:v>1.041666666666663E-3</c:v>
                </c:pt>
                <c:pt idx="6">
                  <c:v>1.8287037037036935E-3</c:v>
                </c:pt>
                <c:pt idx="7">
                  <c:v>8.1018518518519156E-4</c:v>
                </c:pt>
                <c:pt idx="8">
                  <c:v>2.3379629629629584E-3</c:v>
                </c:pt>
                <c:pt idx="9">
                  <c:v>1.4583333333333393E-3</c:v>
                </c:pt>
                <c:pt idx="10">
                  <c:v>0</c:v>
                </c:pt>
                <c:pt idx="11">
                  <c:v>3.4722222222224874E-4</c:v>
                </c:pt>
                <c:pt idx="12">
                  <c:v>0</c:v>
                </c:pt>
                <c:pt idx="13">
                  <c:v>0</c:v>
                </c:pt>
                <c:pt idx="14">
                  <c:v>1.0879629629629572E-3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A8-40CE-8BB5-15BE541F905C}"/>
            </c:ext>
          </c:extLst>
        </c:ser>
        <c:ser>
          <c:idx val="3"/>
          <c:order val="1"/>
          <c:tx>
            <c:strRef>
              <c:f>'Teams by Stage'!$AY$17</c:f>
              <c:strCache>
                <c:ptCount val="1"/>
                <c:pt idx="0">
                  <c:v>From Dr Tu Undertaker</c:v>
                </c:pt>
              </c:strCache>
            </c:strRef>
          </c:tx>
          <c:spPr>
            <a:ln w="3175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'Teams by Stage'!$AZ$17:$BO$17</c:f>
              <c:numCache>
                <c:formatCode>m:ss</c:formatCode>
                <c:ptCount val="16"/>
                <c:pt idx="0">
                  <c:v>3.5879629629629456E-4</c:v>
                </c:pt>
                <c:pt idx="1">
                  <c:v>0</c:v>
                </c:pt>
                <c:pt idx="2">
                  <c:v>3.4722222222224181E-5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5.9027777777778678E-4</c:v>
                </c:pt>
                <c:pt idx="8">
                  <c:v>0</c:v>
                </c:pt>
                <c:pt idx="9">
                  <c:v>7.8703703703704442E-4</c:v>
                </c:pt>
                <c:pt idx="10">
                  <c:v>8.2175925925927207E-4</c:v>
                </c:pt>
                <c:pt idx="11">
                  <c:v>2.8935185185188783E-4</c:v>
                </c:pt>
                <c:pt idx="12">
                  <c:v>1.0532407407407574E-3</c:v>
                </c:pt>
                <c:pt idx="13">
                  <c:v>1.1111111111111183E-3</c:v>
                </c:pt>
                <c:pt idx="14">
                  <c:v>0</c:v>
                </c:pt>
                <c:pt idx="15">
                  <c:v>3.472222222222765E-5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A8-40CE-8BB5-15BE541F905C}"/>
            </c:ext>
          </c:extLst>
        </c:ser>
        <c:ser>
          <c:idx val="7"/>
          <c:order val="2"/>
          <c:tx>
            <c:strRef>
              <c:f>'Teams by Stage'!$AY$20</c:f>
              <c:strCache>
                <c:ptCount val="1"/>
                <c:pt idx="0">
                  <c:v>Chasing the View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</c:marker>
          <c:val>
            <c:numRef>
              <c:f>'Teams by Stage'!$AZ$20:$BO$20</c:f>
              <c:numCache>
                <c:formatCode>m:ss</c:formatCode>
                <c:ptCount val="16"/>
                <c:pt idx="0">
                  <c:v>9.2592592592592032E-5</c:v>
                </c:pt>
                <c:pt idx="1">
                  <c:v>1.2731481481481621E-4</c:v>
                </c:pt>
                <c:pt idx="2">
                  <c:v>8.4490740740741227E-4</c:v>
                </c:pt>
                <c:pt idx="3">
                  <c:v>6.9444444444444198E-4</c:v>
                </c:pt>
                <c:pt idx="4">
                  <c:v>5.2083333333333148E-4</c:v>
                </c:pt>
                <c:pt idx="5">
                  <c:v>5.7870370370367852E-5</c:v>
                </c:pt>
                <c:pt idx="6">
                  <c:v>3.5879629629628762E-4</c:v>
                </c:pt>
                <c:pt idx="7">
                  <c:v>0</c:v>
                </c:pt>
                <c:pt idx="8">
                  <c:v>1.4930555555555391E-3</c:v>
                </c:pt>
                <c:pt idx="9">
                  <c:v>3.0092592592591283E-4</c:v>
                </c:pt>
                <c:pt idx="10">
                  <c:v>2.6620370370368518E-4</c:v>
                </c:pt>
                <c:pt idx="11">
                  <c:v>0</c:v>
                </c:pt>
                <c:pt idx="12">
                  <c:v>8.5648148148145808E-4</c:v>
                </c:pt>
                <c:pt idx="13">
                  <c:v>3.043981481481467E-3</c:v>
                </c:pt>
                <c:pt idx="14">
                  <c:v>1.8055555555555325E-3</c:v>
                </c:pt>
                <c:pt idx="15">
                  <c:v>9.2592592592560807E-5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A8-40CE-8BB5-15BE541F905C}"/>
            </c:ext>
          </c:extLst>
        </c:ser>
        <c:ser>
          <c:idx val="8"/>
          <c:order val="3"/>
          <c:tx>
            <c:strRef>
              <c:f>'Teams by Stage'!$AY$21</c:f>
              <c:strCache>
                <c:ptCount val="1"/>
                <c:pt idx="0">
                  <c:v>Greener Pastures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'Teams by Stage'!$AZ$21:$BO$21</c:f>
              <c:numCache>
                <c:formatCode>m:ss</c:formatCode>
                <c:ptCount val="16"/>
                <c:pt idx="0">
                  <c:v>5.7870370370369587E-5</c:v>
                </c:pt>
                <c:pt idx="1">
                  <c:v>4.0509259259259231E-4</c:v>
                </c:pt>
                <c:pt idx="2">
                  <c:v>0</c:v>
                </c:pt>
                <c:pt idx="3">
                  <c:v>1.8518518518517713E-4</c:v>
                </c:pt>
                <c:pt idx="4">
                  <c:v>1.3888888888888284E-4</c:v>
                </c:pt>
                <c:pt idx="5">
                  <c:v>3.9351851851851527E-4</c:v>
                </c:pt>
                <c:pt idx="6">
                  <c:v>1.2731481481480234E-4</c:v>
                </c:pt>
                <c:pt idx="7">
                  <c:v>3.4722222222222099E-4</c:v>
                </c:pt>
                <c:pt idx="8">
                  <c:v>4.3981481481480955E-4</c:v>
                </c:pt>
                <c:pt idx="9">
                  <c:v>0</c:v>
                </c:pt>
                <c:pt idx="10">
                  <c:v>7.4074074074073626E-4</c:v>
                </c:pt>
                <c:pt idx="11">
                  <c:v>6.94444444444553E-5</c:v>
                </c:pt>
                <c:pt idx="12">
                  <c:v>1.8749999999999878E-3</c:v>
                </c:pt>
                <c:pt idx="13">
                  <c:v>2.5231481481481355E-3</c:v>
                </c:pt>
                <c:pt idx="14">
                  <c:v>1.4004629629629506E-3</c:v>
                </c:pt>
                <c:pt idx="15">
                  <c:v>6.7129629629628096E-4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A8-40CE-8BB5-15BE541F905C}"/>
            </c:ext>
          </c:extLst>
        </c:ser>
        <c:ser>
          <c:idx val="5"/>
          <c:order val="4"/>
          <c:tx>
            <c:strRef>
              <c:f>'Teams by Stage'!$AY$18</c:f>
              <c:strCache>
                <c:ptCount val="1"/>
                <c:pt idx="0">
                  <c:v>3 Captains and Duff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val>
            <c:numRef>
              <c:f>'Teams by Stage'!$AZ$18:$BO$18</c:f>
              <c:numCache>
                <c:formatCode>m:ss</c:formatCode>
                <c:ptCount val="16"/>
                <c:pt idx="0">
                  <c:v>4.9768518518518434E-4</c:v>
                </c:pt>
                <c:pt idx="1">
                  <c:v>5.5555555555555566E-4</c:v>
                </c:pt>
                <c:pt idx="2">
                  <c:v>9.9537037037037562E-4</c:v>
                </c:pt>
                <c:pt idx="3">
                  <c:v>1.2500000000000011E-3</c:v>
                </c:pt>
                <c:pt idx="4">
                  <c:v>1.5972222222222221E-3</c:v>
                </c:pt>
                <c:pt idx="5">
                  <c:v>1.7245370370370383E-3</c:v>
                </c:pt>
                <c:pt idx="6">
                  <c:v>2.1296296296296202E-3</c:v>
                </c:pt>
                <c:pt idx="7">
                  <c:v>1.1226851851851849E-3</c:v>
                </c:pt>
                <c:pt idx="8">
                  <c:v>7.9861111111109717E-4</c:v>
                </c:pt>
                <c:pt idx="9">
                  <c:v>1.0185185185185158E-3</c:v>
                </c:pt>
                <c:pt idx="10">
                  <c:v>1.1111111111111044E-3</c:v>
                </c:pt>
                <c:pt idx="11">
                  <c:v>8.5648148148148584E-4</c:v>
                </c:pt>
                <c:pt idx="12">
                  <c:v>1.9444444444444153E-3</c:v>
                </c:pt>
                <c:pt idx="13">
                  <c:v>2.3958333333333193E-3</c:v>
                </c:pt>
                <c:pt idx="14">
                  <c:v>1.2268518518518401E-3</c:v>
                </c:pt>
                <c:pt idx="15">
                  <c:v>8.796296296296191E-4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A8-40CE-8BB5-15BE541F905C}"/>
            </c:ext>
          </c:extLst>
        </c:ser>
        <c:ser>
          <c:idx val="1"/>
          <c:order val="5"/>
          <c:tx>
            <c:strRef>
              <c:f>'Teams by Stage'!$AY$15</c:f>
              <c:strCache>
                <c:ptCount val="1"/>
                <c:pt idx="0">
                  <c:v>The Golden Bum-Taps</c:v>
                </c:pt>
              </c:strCache>
            </c:strRef>
          </c:tx>
          <c:spPr>
            <a:ln w="3175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 w="6350">
                <a:solidFill>
                  <a:srgbClr val="00B050"/>
                </a:solidFill>
                <a:prstDash val="solid"/>
              </a:ln>
            </c:spPr>
          </c:marker>
          <c:val>
            <c:numRef>
              <c:f>'Teams by Stage'!$AZ$15:$BO$15</c:f>
              <c:numCache>
                <c:formatCode>m:ss</c:formatCode>
                <c:ptCount val="16"/>
                <c:pt idx="0">
                  <c:v>6.1342592592592525E-4</c:v>
                </c:pt>
                <c:pt idx="1">
                  <c:v>6.9444444444444892E-5</c:v>
                </c:pt>
                <c:pt idx="2">
                  <c:v>1.7708333333333395E-3</c:v>
                </c:pt>
                <c:pt idx="3">
                  <c:v>1.5162037037037071E-3</c:v>
                </c:pt>
                <c:pt idx="4">
                  <c:v>2.0486111111111122E-3</c:v>
                </c:pt>
                <c:pt idx="5">
                  <c:v>1.2152777777777804E-3</c:v>
                </c:pt>
                <c:pt idx="6">
                  <c:v>2.7777777777777679E-3</c:v>
                </c:pt>
                <c:pt idx="7">
                  <c:v>1.5162037037037002E-3</c:v>
                </c:pt>
                <c:pt idx="8">
                  <c:v>1.4120370370370172E-3</c:v>
                </c:pt>
                <c:pt idx="9">
                  <c:v>3.8657407407407252E-3</c:v>
                </c:pt>
                <c:pt idx="10">
                  <c:v>3.3449074074073937E-3</c:v>
                </c:pt>
                <c:pt idx="11">
                  <c:v>2.2916666666666641E-3</c:v>
                </c:pt>
                <c:pt idx="12">
                  <c:v>2.7430555555555125E-3</c:v>
                </c:pt>
                <c:pt idx="13">
                  <c:v>2.7777777777777402E-3</c:v>
                </c:pt>
                <c:pt idx="14">
                  <c:v>9.0277777777772461E-4</c:v>
                </c:pt>
                <c:pt idx="15">
                  <c:v>2.2800925925925419E-3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8-40CE-8BB5-15BE541F905C}"/>
            </c:ext>
          </c:extLst>
        </c:ser>
        <c:ser>
          <c:idx val="2"/>
          <c:order val="6"/>
          <c:tx>
            <c:strRef>
              <c:f>'Teams by Stage'!$AY$16</c:f>
              <c:strCache>
                <c:ptCount val="1"/>
                <c:pt idx="0">
                  <c:v>Boogie Days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  <a:ln w="6350">
                <a:solidFill>
                  <a:schemeClr val="tx2"/>
                </a:solidFill>
                <a:prstDash val="solid"/>
              </a:ln>
            </c:spPr>
          </c:marker>
          <c:val>
            <c:numRef>
              <c:f>'Teams by Stage'!$AZ$16:$BO$16</c:f>
              <c:numCache>
                <c:formatCode>m:ss</c:formatCode>
                <c:ptCount val="16"/>
                <c:pt idx="0">
                  <c:v>1.2037037037037034E-3</c:v>
                </c:pt>
                <c:pt idx="1">
                  <c:v>9.0277777777778012E-4</c:v>
                </c:pt>
                <c:pt idx="2">
                  <c:v>1.1689814814814861E-3</c:v>
                </c:pt>
                <c:pt idx="3">
                  <c:v>1.2847222222222218E-3</c:v>
                </c:pt>
                <c:pt idx="4">
                  <c:v>2.3842592592592596E-3</c:v>
                </c:pt>
                <c:pt idx="5">
                  <c:v>1.8287037037037074E-3</c:v>
                </c:pt>
                <c:pt idx="6">
                  <c:v>1.8865740740740683E-3</c:v>
                </c:pt>
                <c:pt idx="7">
                  <c:v>1.1689814814814792E-3</c:v>
                </c:pt>
                <c:pt idx="8">
                  <c:v>1.6087962962962887E-3</c:v>
                </c:pt>
                <c:pt idx="9">
                  <c:v>4.0509259259259578E-4</c:v>
                </c:pt>
                <c:pt idx="10">
                  <c:v>1.2152777777777735E-3</c:v>
                </c:pt>
                <c:pt idx="11">
                  <c:v>2.4421296296296413E-3</c:v>
                </c:pt>
                <c:pt idx="12">
                  <c:v>3.8657407407407252E-3</c:v>
                </c:pt>
                <c:pt idx="13">
                  <c:v>5.1157407407407263E-3</c:v>
                </c:pt>
                <c:pt idx="14">
                  <c:v>2.696759259259246E-3</c:v>
                </c:pt>
                <c:pt idx="15">
                  <c:v>2.4189814814814803E-3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A8-40CE-8BB5-15BE541F905C}"/>
            </c:ext>
          </c:extLst>
        </c:ser>
        <c:ser>
          <c:idx val="6"/>
          <c:order val="7"/>
          <c:tx>
            <c:strRef>
              <c:f>'Teams by Stage'!$AY$19</c:f>
              <c:strCache>
                <c:ptCount val="1"/>
                <c:pt idx="0">
                  <c:v>Shattered and Sun Burnt</c:v>
                </c:pt>
              </c:strCache>
            </c:strRef>
          </c:tx>
          <c:spPr>
            <a:ln w="31750">
              <a:solidFill>
                <a:schemeClr val="bg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val>
            <c:numRef>
              <c:f>'Teams by Stage'!$AZ$19:$BO$19</c:f>
              <c:numCache>
                <c:formatCode>m:ss</c:formatCode>
                <c:ptCount val="16"/>
                <c:pt idx="0">
                  <c:v>1.6203703703703692E-4</c:v>
                </c:pt>
                <c:pt idx="1">
                  <c:v>5.0925925925926138E-4</c:v>
                </c:pt>
                <c:pt idx="2">
                  <c:v>1.1226851851851918E-3</c:v>
                </c:pt>
                <c:pt idx="3">
                  <c:v>1.4467592592592587E-3</c:v>
                </c:pt>
                <c:pt idx="4">
                  <c:v>1.6203703703703692E-3</c:v>
                </c:pt>
                <c:pt idx="5">
                  <c:v>1.8518518518518476E-3</c:v>
                </c:pt>
                <c:pt idx="6">
                  <c:v>2.0717592592592454E-3</c:v>
                </c:pt>
                <c:pt idx="7">
                  <c:v>1.2615740740740677E-3</c:v>
                </c:pt>
                <c:pt idx="8">
                  <c:v>2.3958333333333193E-3</c:v>
                </c:pt>
                <c:pt idx="9">
                  <c:v>1.6087962962962887E-3</c:v>
                </c:pt>
                <c:pt idx="10">
                  <c:v>1.7013888888888773E-3</c:v>
                </c:pt>
                <c:pt idx="11">
                  <c:v>2.2916666666666918E-3</c:v>
                </c:pt>
                <c:pt idx="12">
                  <c:v>4.7337962962963054E-3</c:v>
                </c:pt>
                <c:pt idx="13">
                  <c:v>6.7824074074074314E-3</c:v>
                </c:pt>
                <c:pt idx="14">
                  <c:v>5.1504629629629817E-3</c:v>
                </c:pt>
                <c:pt idx="15">
                  <c:v>4.849537037037055E-3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A8-40CE-8BB5-15BE541F9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328"/>
        <c:axId val="638537112"/>
      </c:lineChart>
      <c:catAx>
        <c:axId val="63853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Stage</a:t>
                </a:r>
              </a:p>
            </c:rich>
          </c:tx>
          <c:layout>
            <c:manualLayout>
              <c:xMode val="edge"/>
              <c:yMode val="edge"/>
              <c:x val="0.43433298862461223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53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8537112"/>
        <c:scaling>
          <c:orientation val="minMax"/>
          <c:max val="6.9444440000000019E-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Minutes Behind Lead Team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35544217687074831"/>
            </c:manualLayout>
          </c:layout>
          <c:overlay val="0"/>
          <c:spPr>
            <a:noFill/>
            <a:ln w="25400">
              <a:noFill/>
            </a:ln>
          </c:spPr>
        </c:title>
        <c:numFmt formatCode="m:ss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536328"/>
        <c:crosses val="autoZero"/>
        <c:crossBetween val="between"/>
        <c:majorUnit val="6.9444440000000014E-4"/>
      </c:valAx>
      <c:spPr>
        <a:gradFill rotWithShape="0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646663976189151E-2"/>
          <c:y val="0.86875866891729836"/>
          <c:w val="0.83014791871804705"/>
          <c:h val="0.10636424295210012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/>
  <sheetViews>
    <sheetView zoomScale="11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3696" cy="55907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0"/>
  <sheetViews>
    <sheetView workbookViewId="0">
      <selection activeCell="J7" activeCellId="3" sqref="D7 F7 H7 J7"/>
    </sheetView>
  </sheetViews>
  <sheetFormatPr defaultRowHeight="12.75" x14ac:dyDescent="0.2"/>
  <cols>
    <col min="1" max="1" width="3.42578125" style="100" customWidth="1"/>
    <col min="2" max="2" width="48.7109375" style="101" bestFit="1" customWidth="1"/>
    <col min="3" max="3" width="4.7109375" style="101" customWidth="1"/>
    <col min="4" max="4" width="20.7109375" style="100" customWidth="1"/>
    <col min="5" max="5" width="4.7109375" style="101" customWidth="1"/>
    <col min="6" max="6" width="20.7109375" style="100" customWidth="1"/>
    <col min="7" max="7" width="4.7109375" style="101" customWidth="1"/>
    <col min="8" max="8" width="20.7109375" style="100" customWidth="1"/>
    <col min="9" max="9" width="4.7109375" style="101" customWidth="1"/>
    <col min="10" max="10" width="20.7109375" style="100" customWidth="1"/>
    <col min="11" max="11" width="17.42578125" style="100" customWidth="1"/>
    <col min="12" max="16" width="9.140625" style="100"/>
    <col min="17" max="16384" width="9.140625" style="102"/>
  </cols>
  <sheetData>
    <row r="1" spans="1:27" s="103" customFormat="1" x14ac:dyDescent="0.2">
      <c r="A1" s="10"/>
      <c r="B1" s="11"/>
      <c r="C1" s="11"/>
      <c r="D1" s="10"/>
      <c r="E1" s="11"/>
      <c r="F1" s="10"/>
      <c r="G1" s="11"/>
      <c r="H1" s="10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04" customFormat="1" ht="20.100000000000001" customHeight="1" x14ac:dyDescent="0.2">
      <c r="A2" s="16"/>
      <c r="B2" s="18" t="s">
        <v>44</v>
      </c>
      <c r="C2" s="19" t="s">
        <v>4</v>
      </c>
      <c r="D2" s="19"/>
      <c r="E2" s="19" t="s">
        <v>1</v>
      </c>
      <c r="F2" s="19"/>
      <c r="G2" s="19" t="s">
        <v>2</v>
      </c>
      <c r="H2" s="19"/>
      <c r="I2" s="19" t="s">
        <v>3</v>
      </c>
      <c r="J2" s="19"/>
      <c r="K2" s="107" t="s">
        <v>47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105" customFormat="1" ht="18.75" customHeight="1" x14ac:dyDescent="0.2">
      <c r="A3" s="17"/>
      <c r="B3" s="110" t="s">
        <v>84</v>
      </c>
      <c r="C3" s="106">
        <v>1</v>
      </c>
      <c r="D3" s="21" t="str">
        <f>VLOOKUP(C3,$I$14:$J$37,2,FALSE)</f>
        <v>Dion Finocchiaro</v>
      </c>
      <c r="E3" s="20">
        <v>15</v>
      </c>
      <c r="F3" s="21" t="str">
        <f t="shared" ref="F3:F9" si="0">VLOOKUP(E3,$I$14:$J$49,2,FALSE)</f>
        <v>Matt Adams</v>
      </c>
      <c r="G3" s="20">
        <v>21</v>
      </c>
      <c r="H3" s="21" t="str">
        <f t="shared" ref="H3:H9" si="1">VLOOKUP(G3,$I$14:$J$49,2,FALSE)</f>
        <v>Beata Janetzki</v>
      </c>
      <c r="I3" s="20">
        <v>32</v>
      </c>
      <c r="J3" s="21" t="str">
        <f t="shared" ref="J3:J9" si="2">VLOOKUP(I3,$I$14:$J$49,2,FALSE)</f>
        <v>Anna Locarnini</v>
      </c>
      <c r="K3" s="108">
        <f t="shared" ref="K3:K10" si="3">+C3+E3+G3+I3</f>
        <v>69</v>
      </c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05" customFormat="1" ht="18.75" customHeight="1" x14ac:dyDescent="0.2">
      <c r="A4" s="17"/>
      <c r="B4" s="110" t="s">
        <v>88</v>
      </c>
      <c r="C4" s="106">
        <v>2</v>
      </c>
      <c r="D4" s="21" t="str">
        <f t="shared" ref="D4:D10" si="4">VLOOKUP(C4,$I$14:$J$49,2,FALSE)</f>
        <v>Tait Ovens</v>
      </c>
      <c r="E4" s="20">
        <v>16</v>
      </c>
      <c r="F4" s="21" t="str">
        <f t="shared" si="0"/>
        <v>Scott Stacey</v>
      </c>
      <c r="G4" s="20">
        <v>17</v>
      </c>
      <c r="H4" s="21" t="str">
        <f t="shared" si="1"/>
        <v>Shane Fielding</v>
      </c>
      <c r="I4" s="20">
        <v>28</v>
      </c>
      <c r="J4" s="21" t="str">
        <f t="shared" si="2"/>
        <v>Hugh Hunter</v>
      </c>
      <c r="K4" s="108">
        <f t="shared" si="3"/>
        <v>63</v>
      </c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05" customFormat="1" ht="18.75" customHeight="1" x14ac:dyDescent="0.2">
      <c r="A5" s="17"/>
      <c r="B5" s="110" t="s">
        <v>89</v>
      </c>
      <c r="C5" s="106">
        <v>3</v>
      </c>
      <c r="D5" s="21" t="str">
        <f t="shared" si="4"/>
        <v>Darren Bowden</v>
      </c>
      <c r="E5" s="20">
        <v>14</v>
      </c>
      <c r="F5" s="21" t="str">
        <f t="shared" si="0"/>
        <v>Glenn Carroll</v>
      </c>
      <c r="G5" s="20">
        <v>18</v>
      </c>
      <c r="H5" s="21" t="str">
        <f t="shared" si="1"/>
        <v>Julie-Ann Undrill</v>
      </c>
      <c r="I5" s="20">
        <v>31</v>
      </c>
      <c r="J5" s="21" t="str">
        <f t="shared" si="2"/>
        <v>Mel Jansen</v>
      </c>
      <c r="K5" s="108">
        <f t="shared" si="3"/>
        <v>66</v>
      </c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05" customFormat="1" ht="18.75" customHeight="1" x14ac:dyDescent="0.2">
      <c r="A6" s="17"/>
      <c r="B6" s="110" t="s">
        <v>91</v>
      </c>
      <c r="C6" s="106">
        <v>4</v>
      </c>
      <c r="D6" s="21" t="str">
        <f t="shared" si="4"/>
        <v>Simon Tu</v>
      </c>
      <c r="E6" s="20">
        <v>12</v>
      </c>
      <c r="F6" s="21" t="str">
        <f t="shared" si="0"/>
        <v>Chris Wright</v>
      </c>
      <c r="G6" s="20">
        <v>20</v>
      </c>
      <c r="H6" s="21" t="str">
        <f t="shared" si="1"/>
        <v>Thai Phan</v>
      </c>
      <c r="I6" s="20">
        <v>30</v>
      </c>
      <c r="J6" s="21" t="str">
        <f t="shared" si="2"/>
        <v>Nick Tobin</v>
      </c>
      <c r="K6" s="108">
        <f t="shared" si="3"/>
        <v>66</v>
      </c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105" customFormat="1" ht="18.75" customHeight="1" x14ac:dyDescent="0.2">
      <c r="A7" s="17"/>
      <c r="B7" s="110" t="s">
        <v>87</v>
      </c>
      <c r="C7" s="106">
        <v>5</v>
      </c>
      <c r="D7" s="21" t="str">
        <f t="shared" si="4"/>
        <v>David Hartley</v>
      </c>
      <c r="E7" s="20">
        <v>13</v>
      </c>
      <c r="F7" s="21" t="str">
        <f t="shared" si="0"/>
        <v>Garth Calder</v>
      </c>
      <c r="G7" s="20">
        <v>22</v>
      </c>
      <c r="H7" s="21" t="str">
        <f t="shared" si="1"/>
        <v>Anthony Mithen</v>
      </c>
      <c r="I7" s="20">
        <v>29</v>
      </c>
      <c r="J7" s="21" t="str">
        <f t="shared" si="2"/>
        <v>Luke Pengelly</v>
      </c>
      <c r="K7" s="108">
        <f t="shared" si="3"/>
        <v>69</v>
      </c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05" customFormat="1" ht="18.75" customHeight="1" x14ac:dyDescent="0.2">
      <c r="A8" s="17"/>
      <c r="B8" s="110" t="s">
        <v>90</v>
      </c>
      <c r="C8" s="106">
        <v>6</v>
      </c>
      <c r="D8" s="21" t="str">
        <f t="shared" si="4"/>
        <v>David Alcock</v>
      </c>
      <c r="E8" s="20">
        <v>11</v>
      </c>
      <c r="F8" s="21" t="str">
        <f t="shared" si="0"/>
        <v>James Howe</v>
      </c>
      <c r="G8" s="20">
        <v>23</v>
      </c>
      <c r="H8" s="21" t="str">
        <f t="shared" si="1"/>
        <v>Brenton Norman</v>
      </c>
      <c r="I8" s="20">
        <v>26</v>
      </c>
      <c r="J8" s="21" t="str">
        <f t="shared" si="2"/>
        <v>Martin Fry</v>
      </c>
      <c r="K8" s="108">
        <f t="shared" si="3"/>
        <v>66</v>
      </c>
      <c r="L8" s="109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105" customFormat="1" ht="18.75" customHeight="1" x14ac:dyDescent="0.2">
      <c r="A9" s="17"/>
      <c r="B9" s="110" t="s">
        <v>85</v>
      </c>
      <c r="C9" s="106">
        <v>7</v>
      </c>
      <c r="D9" s="21" t="str">
        <f t="shared" si="4"/>
        <v>Daniel Hall</v>
      </c>
      <c r="E9" s="20">
        <v>9</v>
      </c>
      <c r="F9" s="21" t="str">
        <f t="shared" si="0"/>
        <v>Scott Smith</v>
      </c>
      <c r="G9" s="20">
        <v>19</v>
      </c>
      <c r="H9" s="21" t="str">
        <f t="shared" si="1"/>
        <v>Andrew Pintar</v>
      </c>
      <c r="I9" s="20">
        <v>27</v>
      </c>
      <c r="J9" s="21" t="str">
        <f t="shared" si="2"/>
        <v>Bao Hoang</v>
      </c>
      <c r="K9" s="108">
        <f t="shared" si="3"/>
        <v>62</v>
      </c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105" customFormat="1" ht="18.75" customHeight="1" x14ac:dyDescent="0.2">
      <c r="A10" s="17"/>
      <c r="B10" s="110" t="s">
        <v>86</v>
      </c>
      <c r="C10" s="106">
        <v>8</v>
      </c>
      <c r="D10" s="21" t="str">
        <f t="shared" si="4"/>
        <v>Tony Langelaan</v>
      </c>
      <c r="E10" s="20">
        <v>10</v>
      </c>
      <c r="F10" s="21" t="str">
        <f t="shared" ref="F10" si="5">VLOOKUP(E10,$I$14:$J$49,2,FALSE)</f>
        <v>Richard Does</v>
      </c>
      <c r="G10" s="20">
        <v>24</v>
      </c>
      <c r="H10" s="21" t="str">
        <f t="shared" ref="H10" si="6">VLOOKUP(G10,$I$14:$J$49,2,FALSE)</f>
        <v>Chris Wade</v>
      </c>
      <c r="I10" s="20">
        <v>25</v>
      </c>
      <c r="J10" s="21" t="str">
        <f t="shared" ref="J10" si="7">VLOOKUP(I10,$I$14:$J$49,2,FALSE)</f>
        <v>Dale Nardella</v>
      </c>
      <c r="K10" s="108">
        <f t="shared" si="3"/>
        <v>67</v>
      </c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">
      <c r="A11" s="12"/>
      <c r="B11" s="22"/>
      <c r="C11" s="12"/>
      <c r="D11" s="12"/>
      <c r="E11" s="14"/>
      <c r="F11" s="12"/>
      <c r="G11" s="14"/>
      <c r="H11" s="12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2">
      <c r="A12" s="12"/>
      <c r="B12" s="22"/>
      <c r="C12" s="12"/>
      <c r="D12" s="12"/>
      <c r="E12" s="14"/>
      <c r="F12" s="12"/>
      <c r="G12" s="14"/>
      <c r="H12" s="12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">
      <c r="A13" s="12"/>
      <c r="B13" s="22"/>
      <c r="C13" s="12"/>
      <c r="D13" s="12"/>
      <c r="E13" s="14"/>
      <c r="F13" s="12"/>
      <c r="G13" s="14"/>
      <c r="H13" s="12"/>
      <c r="I13" s="175" t="s">
        <v>46</v>
      </c>
      <c r="J13" s="17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">
      <c r="A14" s="12"/>
      <c r="B14" s="22"/>
      <c r="C14" s="12"/>
      <c r="D14" s="12"/>
      <c r="E14" s="14"/>
      <c r="F14" s="12"/>
      <c r="G14" s="14"/>
      <c r="H14" s="12"/>
      <c r="I14" s="123">
        <v>1</v>
      </c>
      <c r="J14" s="124" t="s">
        <v>63</v>
      </c>
      <c r="K14" s="12"/>
      <c r="L14" s="123">
        <f>I14</f>
        <v>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2">
      <c r="A15" s="12"/>
      <c r="B15" s="22"/>
      <c r="C15" s="12"/>
      <c r="D15" s="12"/>
      <c r="E15" s="14"/>
      <c r="F15" s="12"/>
      <c r="G15" s="14"/>
      <c r="H15" s="12"/>
      <c r="I15" s="123">
        <v>2</v>
      </c>
      <c r="J15" s="124" t="s">
        <v>64</v>
      </c>
      <c r="K15" s="12"/>
      <c r="L15" s="123">
        <f t="shared" ref="L15:L45" si="8">I15</f>
        <v>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2">
      <c r="A16" s="12"/>
      <c r="B16" s="22"/>
      <c r="C16" s="12"/>
      <c r="D16" s="12"/>
      <c r="E16" s="14"/>
      <c r="F16" s="12"/>
      <c r="G16" s="14"/>
      <c r="H16" s="12"/>
      <c r="I16" s="123">
        <v>3</v>
      </c>
      <c r="J16" s="124" t="s">
        <v>65</v>
      </c>
      <c r="K16" s="12"/>
      <c r="L16" s="123">
        <f t="shared" si="8"/>
        <v>3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x14ac:dyDescent="0.2">
      <c r="A17" s="12"/>
      <c r="B17" s="22"/>
      <c r="C17" s="12"/>
      <c r="D17" s="12"/>
      <c r="E17" s="14"/>
      <c r="F17" s="12"/>
      <c r="G17" s="14"/>
      <c r="H17" s="12"/>
      <c r="I17" s="123">
        <v>4</v>
      </c>
      <c r="J17" s="124" t="s">
        <v>57</v>
      </c>
      <c r="K17" s="12"/>
      <c r="L17" s="123">
        <f t="shared" si="8"/>
        <v>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2">
      <c r="A18" s="12"/>
      <c r="B18" s="22"/>
      <c r="C18" s="12"/>
      <c r="D18" s="12"/>
      <c r="E18" s="14"/>
      <c r="F18" s="12"/>
      <c r="G18" s="14"/>
      <c r="H18" s="12"/>
      <c r="I18" s="123">
        <v>5</v>
      </c>
      <c r="J18" s="124" t="s">
        <v>55</v>
      </c>
      <c r="K18" s="12"/>
      <c r="L18" s="123">
        <f t="shared" si="8"/>
        <v>5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2">
      <c r="A19" s="12"/>
      <c r="B19" s="22"/>
      <c r="C19" s="12"/>
      <c r="D19" s="12"/>
      <c r="E19" s="14"/>
      <c r="F19" s="12"/>
      <c r="G19" s="14"/>
      <c r="H19" s="12"/>
      <c r="I19" s="123">
        <v>6</v>
      </c>
      <c r="J19" s="124" t="s">
        <v>54</v>
      </c>
      <c r="K19" s="12"/>
      <c r="L19" s="123">
        <f t="shared" si="8"/>
        <v>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">
      <c r="A20" s="12"/>
      <c r="B20" s="22"/>
      <c r="C20" s="12"/>
      <c r="D20" s="12"/>
      <c r="E20" s="14"/>
      <c r="F20" s="12"/>
      <c r="G20" s="14"/>
      <c r="H20" s="12"/>
      <c r="I20" s="123">
        <v>7</v>
      </c>
      <c r="J20" s="124" t="s">
        <v>66</v>
      </c>
      <c r="K20" s="12"/>
      <c r="L20" s="123">
        <f t="shared" si="8"/>
        <v>7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">
      <c r="A21" s="12"/>
      <c r="B21" s="22"/>
      <c r="C21" s="12"/>
      <c r="D21" s="12"/>
      <c r="E21" s="14"/>
      <c r="F21" s="12"/>
      <c r="G21" s="14"/>
      <c r="H21" s="12"/>
      <c r="I21" s="123">
        <v>8</v>
      </c>
      <c r="J21" s="124" t="s">
        <v>67</v>
      </c>
      <c r="K21" s="12"/>
      <c r="L21" s="123">
        <f t="shared" si="8"/>
        <v>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">
      <c r="A22" s="12"/>
      <c r="B22" s="22"/>
      <c r="C22" s="12"/>
      <c r="D22" s="12"/>
      <c r="E22" s="14"/>
      <c r="F22" s="12"/>
      <c r="G22" s="14"/>
      <c r="H22" s="12"/>
      <c r="I22" s="123">
        <v>9</v>
      </c>
      <c r="J22" s="122" t="s">
        <v>69</v>
      </c>
      <c r="K22" s="12"/>
      <c r="L22" s="123">
        <f t="shared" si="8"/>
        <v>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2">
      <c r="A23" s="12"/>
      <c r="B23" s="22"/>
      <c r="C23" s="12"/>
      <c r="D23" s="12"/>
      <c r="E23" s="14"/>
      <c r="F23" s="12"/>
      <c r="G23" s="14"/>
      <c r="H23" s="12"/>
      <c r="I23" s="123">
        <v>10</v>
      </c>
      <c r="J23" s="122" t="s">
        <v>51</v>
      </c>
      <c r="K23" s="12"/>
      <c r="L23" s="123">
        <f t="shared" si="8"/>
        <v>10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">
      <c r="A24" s="12"/>
      <c r="B24" s="22"/>
      <c r="C24" s="12"/>
      <c r="D24" s="12"/>
      <c r="E24" s="14"/>
      <c r="F24" s="12"/>
      <c r="G24" s="14"/>
      <c r="H24" s="12"/>
      <c r="I24" s="123">
        <v>11</v>
      </c>
      <c r="J24" s="122" t="s">
        <v>68</v>
      </c>
      <c r="K24" s="12"/>
      <c r="L24" s="123">
        <f t="shared" si="8"/>
        <v>11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">
      <c r="A25" s="12"/>
      <c r="B25" s="22"/>
      <c r="C25" s="12"/>
      <c r="D25" s="12"/>
      <c r="E25" s="14"/>
      <c r="F25" s="12"/>
      <c r="G25" s="14"/>
      <c r="H25" s="12"/>
      <c r="I25" s="123">
        <v>12</v>
      </c>
      <c r="J25" s="124" t="s">
        <v>70</v>
      </c>
      <c r="K25" s="12"/>
      <c r="L25" s="123">
        <f t="shared" si="8"/>
        <v>12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2">
      <c r="A26" s="12"/>
      <c r="B26" s="13"/>
      <c r="C26" s="14"/>
      <c r="D26" s="12"/>
      <c r="E26" s="14"/>
      <c r="F26" s="12"/>
      <c r="G26" s="14"/>
      <c r="H26" s="12"/>
      <c r="I26" s="123">
        <v>13</v>
      </c>
      <c r="J26" s="124" t="s">
        <v>59</v>
      </c>
      <c r="K26" s="12"/>
      <c r="L26" s="123">
        <f t="shared" si="8"/>
        <v>13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">
      <c r="A27" s="12"/>
      <c r="B27" s="13"/>
      <c r="C27" s="14"/>
      <c r="D27" s="12"/>
      <c r="E27" s="14"/>
      <c r="F27" s="12"/>
      <c r="G27" s="14"/>
      <c r="H27" s="12"/>
      <c r="I27" s="123">
        <v>14</v>
      </c>
      <c r="J27" s="124" t="s">
        <v>52</v>
      </c>
      <c r="K27" s="12"/>
      <c r="L27" s="123">
        <f t="shared" si="8"/>
        <v>14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">
      <c r="A28" s="12"/>
      <c r="B28" s="13"/>
      <c r="C28" s="14"/>
      <c r="D28" s="12"/>
      <c r="E28" s="14"/>
      <c r="F28" s="12"/>
      <c r="G28" s="14"/>
      <c r="H28" s="12"/>
      <c r="I28" s="123">
        <v>15</v>
      </c>
      <c r="J28" s="124" t="s">
        <v>71</v>
      </c>
      <c r="K28" s="12"/>
      <c r="L28" s="123">
        <f t="shared" si="8"/>
        <v>15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2">
      <c r="A29" s="12"/>
      <c r="B29" s="14"/>
      <c r="C29" s="14"/>
      <c r="D29" s="12"/>
      <c r="E29" s="14"/>
      <c r="F29" s="12"/>
      <c r="G29" s="14"/>
      <c r="H29" s="12"/>
      <c r="I29" s="123">
        <v>16</v>
      </c>
      <c r="J29" s="124" t="s">
        <v>72</v>
      </c>
      <c r="K29" s="12"/>
      <c r="L29" s="123">
        <f t="shared" si="8"/>
        <v>16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">
      <c r="A30" s="12"/>
      <c r="B30" s="14"/>
      <c r="C30" s="14"/>
      <c r="D30" s="12"/>
      <c r="E30" s="14"/>
      <c r="F30" s="12"/>
      <c r="G30" s="14"/>
      <c r="H30" s="12"/>
      <c r="I30" s="123">
        <v>17</v>
      </c>
      <c r="J30" s="124" t="s">
        <v>58</v>
      </c>
      <c r="K30" s="12"/>
      <c r="L30" s="123">
        <f t="shared" si="8"/>
        <v>17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2">
      <c r="A31" s="12"/>
      <c r="B31" s="14"/>
      <c r="C31" s="14"/>
      <c r="D31" s="12"/>
      <c r="E31" s="14"/>
      <c r="F31" s="12"/>
      <c r="G31" s="14"/>
      <c r="H31" s="12"/>
      <c r="I31" s="123">
        <v>18</v>
      </c>
      <c r="J31" s="124" t="s">
        <v>73</v>
      </c>
      <c r="K31" s="12"/>
      <c r="L31" s="123">
        <f t="shared" si="8"/>
        <v>18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">
      <c r="A32" s="12"/>
      <c r="B32" s="14"/>
      <c r="C32" s="14"/>
      <c r="D32" s="12"/>
      <c r="E32" s="14"/>
      <c r="F32" s="12"/>
      <c r="G32" s="14"/>
      <c r="H32" s="12"/>
      <c r="I32" s="123">
        <v>19</v>
      </c>
      <c r="J32" s="124" t="s">
        <v>74</v>
      </c>
      <c r="K32" s="12"/>
      <c r="L32" s="123">
        <f t="shared" si="8"/>
        <v>19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2">
      <c r="A33" s="12"/>
      <c r="B33" s="14"/>
      <c r="C33" s="14"/>
      <c r="D33" s="15"/>
      <c r="E33" s="14"/>
      <c r="F33" s="15"/>
      <c r="G33" s="14"/>
      <c r="H33" s="12"/>
      <c r="I33" s="123">
        <v>20</v>
      </c>
      <c r="J33" s="124" t="s">
        <v>75</v>
      </c>
      <c r="K33" s="12"/>
      <c r="L33" s="123">
        <f t="shared" si="8"/>
        <v>20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x14ac:dyDescent="0.2">
      <c r="A34" s="12"/>
      <c r="B34" s="14"/>
      <c r="C34" s="14"/>
      <c r="D34" s="15"/>
      <c r="E34" s="14"/>
      <c r="F34" s="15"/>
      <c r="G34" s="14"/>
      <c r="H34" s="12"/>
      <c r="I34" s="123">
        <v>21</v>
      </c>
      <c r="J34" s="124" t="s">
        <v>76</v>
      </c>
      <c r="K34" s="12"/>
      <c r="L34" s="123">
        <f t="shared" si="8"/>
        <v>21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2">
      <c r="A35" s="12"/>
      <c r="B35" s="14"/>
      <c r="C35" s="14"/>
      <c r="D35" s="15"/>
      <c r="E35" s="14"/>
      <c r="F35" s="15"/>
      <c r="G35" s="14"/>
      <c r="H35" s="12"/>
      <c r="I35" s="123">
        <v>22</v>
      </c>
      <c r="J35" s="124" t="s">
        <v>53</v>
      </c>
      <c r="K35" s="12"/>
      <c r="L35" s="123">
        <f t="shared" si="8"/>
        <v>22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x14ac:dyDescent="0.2">
      <c r="A36" s="12"/>
      <c r="B36" s="14"/>
      <c r="C36" s="14"/>
      <c r="D36" s="15"/>
      <c r="E36" s="14"/>
      <c r="F36" s="15"/>
      <c r="G36" s="14"/>
      <c r="H36" s="12"/>
      <c r="I36" s="123">
        <v>23</v>
      </c>
      <c r="J36" s="124" t="s">
        <v>77</v>
      </c>
      <c r="K36" s="12"/>
      <c r="L36" s="123">
        <f t="shared" si="8"/>
        <v>23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x14ac:dyDescent="0.2">
      <c r="A37" s="12"/>
      <c r="B37" s="14"/>
      <c r="C37" s="14"/>
      <c r="D37" s="15"/>
      <c r="E37" s="14"/>
      <c r="F37" s="15"/>
      <c r="G37" s="14"/>
      <c r="H37" s="12"/>
      <c r="I37" s="123">
        <v>24</v>
      </c>
      <c r="J37" s="124" t="s">
        <v>61</v>
      </c>
      <c r="K37" s="12"/>
      <c r="L37" s="123">
        <f t="shared" si="8"/>
        <v>24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2">
      <c r="A38" s="12"/>
      <c r="B38" s="14"/>
      <c r="C38" s="14"/>
      <c r="D38" s="15"/>
      <c r="E38" s="14"/>
      <c r="F38" s="15"/>
      <c r="G38" s="14"/>
      <c r="H38" s="12"/>
      <c r="I38" s="123">
        <v>25</v>
      </c>
      <c r="J38" s="124" t="s">
        <v>60</v>
      </c>
      <c r="K38" s="12"/>
      <c r="L38" s="123">
        <f t="shared" si="8"/>
        <v>25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12"/>
      <c r="B39" s="14"/>
      <c r="C39" s="14"/>
      <c r="D39" s="12"/>
      <c r="E39" s="14"/>
      <c r="F39" s="12"/>
      <c r="G39" s="14"/>
      <c r="H39" s="12"/>
      <c r="I39" s="123">
        <v>26</v>
      </c>
      <c r="J39" s="124" t="s">
        <v>78</v>
      </c>
      <c r="K39" s="12"/>
      <c r="L39" s="123">
        <f t="shared" si="8"/>
        <v>26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2">
      <c r="A40" s="12"/>
      <c r="B40" s="14"/>
      <c r="C40" s="14"/>
      <c r="D40" s="12"/>
      <c r="E40" s="14"/>
      <c r="F40" s="12"/>
      <c r="G40" s="14"/>
      <c r="H40" s="12"/>
      <c r="I40" s="123">
        <v>27</v>
      </c>
      <c r="J40" s="124" t="s">
        <v>79</v>
      </c>
      <c r="K40" s="12"/>
      <c r="L40" s="123">
        <f t="shared" si="8"/>
        <v>27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x14ac:dyDescent="0.2">
      <c r="A41" s="12"/>
      <c r="B41" s="14"/>
      <c r="C41" s="14"/>
      <c r="D41" s="12"/>
      <c r="E41" s="14"/>
      <c r="F41" s="12"/>
      <c r="G41" s="14"/>
      <c r="H41" s="12"/>
      <c r="I41" s="123">
        <v>28</v>
      </c>
      <c r="J41" s="124" t="s">
        <v>80</v>
      </c>
      <c r="K41" s="12"/>
      <c r="L41" s="123">
        <f t="shared" si="8"/>
        <v>28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2">
      <c r="A42" s="12"/>
      <c r="B42" s="14"/>
      <c r="C42" s="14"/>
      <c r="D42" s="12"/>
      <c r="E42" s="14"/>
      <c r="F42" s="12"/>
      <c r="G42" s="14"/>
      <c r="H42" s="12"/>
      <c r="I42" s="123">
        <v>29</v>
      </c>
      <c r="J42" s="124" t="s">
        <v>81</v>
      </c>
      <c r="K42" s="12"/>
      <c r="L42" s="123">
        <f t="shared" si="8"/>
        <v>29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">
      <c r="A43" s="12"/>
      <c r="B43" s="14"/>
      <c r="C43" s="14"/>
      <c r="D43" s="12"/>
      <c r="E43" s="14"/>
      <c r="F43" s="12"/>
      <c r="G43" s="14"/>
      <c r="H43" s="12"/>
      <c r="I43" s="123">
        <v>30</v>
      </c>
      <c r="J43" s="124" t="s">
        <v>56</v>
      </c>
      <c r="K43" s="12"/>
      <c r="L43" s="123">
        <f t="shared" si="8"/>
        <v>30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x14ac:dyDescent="0.2">
      <c r="A44" s="12"/>
      <c r="B44" s="14"/>
      <c r="C44" s="14"/>
      <c r="D44" s="12"/>
      <c r="E44" s="14"/>
      <c r="F44" s="12"/>
      <c r="G44" s="14"/>
      <c r="H44" s="12"/>
      <c r="I44" s="123">
        <v>31</v>
      </c>
      <c r="J44" s="124" t="s">
        <v>82</v>
      </c>
      <c r="K44" s="122"/>
      <c r="L44" s="123">
        <f t="shared" si="8"/>
        <v>31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x14ac:dyDescent="0.2">
      <c r="A45" s="12"/>
      <c r="B45" s="14"/>
      <c r="C45" s="14"/>
      <c r="D45" s="12"/>
      <c r="E45" s="14"/>
      <c r="F45" s="12"/>
      <c r="G45" s="14"/>
      <c r="H45" s="12"/>
      <c r="I45" s="123">
        <v>32</v>
      </c>
      <c r="J45" s="124" t="s">
        <v>83</v>
      </c>
      <c r="K45" s="122"/>
      <c r="L45" s="123">
        <f t="shared" si="8"/>
        <v>32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x14ac:dyDescent="0.2">
      <c r="A46" s="12"/>
      <c r="B46" s="14"/>
      <c r="C46" s="14"/>
      <c r="D46" s="12"/>
      <c r="E46" s="14"/>
      <c r="F46" s="12"/>
      <c r="G46" s="14"/>
      <c r="H46" s="12"/>
      <c r="I46" s="123"/>
      <c r="J46" s="124" t="str">
        <f t="shared" ref="J46:J49" si="9">PROPER(F46)</f>
        <v/>
      </c>
      <c r="K46" s="122"/>
      <c r="L46" s="12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2">
      <c r="A47" s="12"/>
      <c r="B47" s="14"/>
      <c r="C47" s="14"/>
      <c r="D47" s="12"/>
      <c r="E47" s="14"/>
      <c r="F47" s="12"/>
      <c r="G47" s="14"/>
      <c r="H47" s="12"/>
      <c r="I47" s="123"/>
      <c r="J47" s="124" t="str">
        <f t="shared" si="9"/>
        <v/>
      </c>
      <c r="K47" s="122"/>
      <c r="L47" s="12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">
      <c r="A48" s="12"/>
      <c r="B48" s="14"/>
      <c r="C48" s="14"/>
      <c r="D48" s="12"/>
      <c r="E48" s="14"/>
      <c r="F48" s="12"/>
      <c r="G48" s="14"/>
      <c r="H48" s="12"/>
      <c r="I48" s="123"/>
      <c r="J48" s="124" t="str">
        <f t="shared" si="9"/>
        <v/>
      </c>
      <c r="K48" s="122"/>
      <c r="L48" s="12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2">
      <c r="A49" s="12"/>
      <c r="B49" s="14"/>
      <c r="C49" s="14"/>
      <c r="D49" s="12"/>
      <c r="E49" s="14"/>
      <c r="F49" s="12"/>
      <c r="G49" s="14"/>
      <c r="H49" s="12"/>
      <c r="I49" s="123"/>
      <c r="J49" s="124" t="str">
        <f t="shared" si="9"/>
        <v/>
      </c>
      <c r="K49" s="122"/>
      <c r="L49" s="12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2">
      <c r="A50" s="12"/>
      <c r="I50" s="100"/>
    </row>
  </sheetData>
  <mergeCells count="1">
    <mergeCell ref="I13:J13"/>
  </mergeCells>
  <phoneticPr fontId="0" type="noConversion"/>
  <dataValidations disablePrompts="1" xWindow="651" yWindow="290" count="2">
    <dataValidation type="list" allowBlank="1" showInputMessage="1" showErrorMessage="1" promptTitle="Select Runner" prompt="from list" sqref="J12" xr:uid="{00000000-0002-0000-0000-000000000000}">
      <formula1>$D$12:$D$29</formula1>
    </dataValidation>
    <dataValidation type="list" allowBlank="1" showInputMessage="1" showErrorMessage="1" promptTitle="Select Runner" prompt="from list" sqref="J13" xr:uid="{00000000-0002-0000-0000-000001000000}">
      <formula1>$D$15:$D$31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CH86"/>
  <sheetViews>
    <sheetView tabSelected="1" zoomScale="70" zoomScaleNormal="70" workbookViewId="0">
      <pane xSplit="7" topLeftCell="H1" activePane="topRight" state="frozen"/>
      <selection pane="topRight"/>
    </sheetView>
  </sheetViews>
  <sheetFormatPr defaultRowHeight="12.75" x14ac:dyDescent="0.2"/>
  <cols>
    <col min="1" max="1" width="29.7109375" style="35" bestFit="1" customWidth="1"/>
    <col min="2" max="2" width="11.85546875" style="36" customWidth="1"/>
    <col min="3" max="3" width="4.7109375" style="37" customWidth="1"/>
    <col min="4" max="4" width="1.7109375" style="38" customWidth="1"/>
    <col min="5" max="5" width="10.7109375" style="36" customWidth="1"/>
    <col min="6" max="6" width="4.7109375" style="36" customWidth="1"/>
    <col min="7" max="7" width="1.7109375" style="38" customWidth="1"/>
    <col min="8" max="8" width="15.7109375" style="38" customWidth="1"/>
    <col min="9" max="9" width="7.7109375" style="41" bestFit="1" customWidth="1"/>
    <col min="10" max="10" width="5.7109375" style="38" customWidth="1"/>
    <col min="11" max="11" width="5.7109375" style="40" customWidth="1"/>
    <col min="12" max="12" width="1.7109375" style="38" customWidth="1"/>
    <col min="13" max="13" width="17.42578125" style="38" customWidth="1"/>
    <col min="14" max="14" width="6.42578125" style="41" bestFit="1" customWidth="1"/>
    <col min="15" max="15" width="5.7109375" style="38" customWidth="1"/>
    <col min="16" max="16" width="5.7109375" style="40" customWidth="1"/>
    <col min="17" max="17" width="1.7109375" style="38" customWidth="1"/>
    <col min="18" max="18" width="15.7109375" style="38" customWidth="1"/>
    <col min="19" max="19" width="6.42578125" style="41" bestFit="1" customWidth="1"/>
    <col min="20" max="20" width="5.7109375" style="38" customWidth="1"/>
    <col min="21" max="21" width="5.7109375" style="40" customWidth="1"/>
    <col min="22" max="22" width="1.7109375" style="38" customWidth="1"/>
    <col min="23" max="23" width="16.85546875" style="38" customWidth="1"/>
    <col min="24" max="24" width="7.7109375" style="41" bestFit="1" customWidth="1"/>
    <col min="25" max="25" width="5.7109375" style="38" customWidth="1"/>
    <col min="26" max="26" width="5.7109375" style="40" customWidth="1"/>
    <col min="27" max="27" width="1.7109375" style="38" customWidth="1"/>
    <col min="28" max="28" width="15.7109375" style="38" customWidth="1"/>
    <col min="29" max="29" width="6.42578125" style="41" bestFit="1" customWidth="1"/>
    <col min="30" max="30" width="5.7109375" style="38" customWidth="1"/>
    <col min="31" max="31" width="5.7109375" style="40" customWidth="1"/>
    <col min="32" max="32" width="1.7109375" style="38" customWidth="1"/>
    <col min="33" max="33" width="16.28515625" style="38" customWidth="1"/>
    <col min="34" max="34" width="7.42578125" style="41" bestFit="1" customWidth="1"/>
    <col min="35" max="35" width="5.7109375" style="38" customWidth="1"/>
    <col min="36" max="36" width="5.7109375" style="40" customWidth="1"/>
    <col min="37" max="37" width="1.7109375" style="38" customWidth="1"/>
    <col min="38" max="38" width="15.7109375" style="38" customWidth="1"/>
    <col min="39" max="39" width="6.42578125" style="41" bestFit="1" customWidth="1"/>
    <col min="40" max="40" width="5.7109375" style="38" customWidth="1"/>
    <col min="41" max="41" width="5.7109375" style="40" customWidth="1"/>
    <col min="42" max="42" width="1.7109375" style="38" customWidth="1"/>
    <col min="43" max="43" width="17" style="38" customWidth="1"/>
    <col min="44" max="44" width="6.42578125" style="41" customWidth="1"/>
    <col min="45" max="45" width="5.7109375" style="38" customWidth="1"/>
    <col min="46" max="46" width="5.7109375" style="40" customWidth="1"/>
    <col min="47" max="47" width="1.7109375" style="38" customWidth="1"/>
    <col min="48" max="48" width="15.7109375" style="38" customWidth="1"/>
    <col min="49" max="49" width="5.7109375" style="41" customWidth="1"/>
    <col min="50" max="50" width="5.7109375" style="38" customWidth="1"/>
    <col min="51" max="51" width="5.7109375" style="40" customWidth="1"/>
    <col min="52" max="52" width="1.7109375" style="38" customWidth="1"/>
    <col min="53" max="53" width="16.7109375" style="38" customWidth="1"/>
    <col min="54" max="54" width="6.7109375" style="41" customWidth="1"/>
    <col min="55" max="55" width="6.7109375" style="38" customWidth="1"/>
    <col min="56" max="56" width="6.7109375" style="40" customWidth="1"/>
    <col min="57" max="57" width="1.7109375" style="38" customWidth="1"/>
    <col min="58" max="58" width="16.7109375" style="38" customWidth="1"/>
    <col min="59" max="59" width="6.7109375" style="41" customWidth="1"/>
    <col min="60" max="60" width="6.7109375" style="38" customWidth="1"/>
    <col min="61" max="61" width="6.7109375" style="40" customWidth="1"/>
    <col min="62" max="62" width="1.7109375" style="38" customWidth="1"/>
    <col min="63" max="63" width="16.7109375" style="38" customWidth="1"/>
    <col min="64" max="64" width="6.7109375" style="41" customWidth="1"/>
    <col min="65" max="65" width="6.7109375" style="38" customWidth="1"/>
    <col min="66" max="66" width="6.7109375" style="40" customWidth="1"/>
    <col min="67" max="67" width="1.7109375" style="38" customWidth="1"/>
    <col min="68" max="68" width="16.7109375" style="38" customWidth="1"/>
    <col min="69" max="69" width="6.7109375" style="41" customWidth="1"/>
    <col min="70" max="70" width="6.7109375" style="38" customWidth="1"/>
    <col min="71" max="71" width="6.7109375" style="40" customWidth="1"/>
    <col min="72" max="72" width="1.7109375" style="38" customWidth="1"/>
    <col min="73" max="73" width="16.7109375" style="38" customWidth="1"/>
    <col min="74" max="74" width="6.7109375" style="41" customWidth="1"/>
    <col min="75" max="75" width="6.7109375" style="38" customWidth="1"/>
    <col min="76" max="76" width="6.7109375" style="40" customWidth="1"/>
    <col min="77" max="77" width="1.7109375" style="38" customWidth="1"/>
    <col min="78" max="78" width="16.7109375" style="38" customWidth="1"/>
    <col min="79" max="79" width="6.7109375" style="41" customWidth="1"/>
    <col min="80" max="80" width="6.7109375" style="38" customWidth="1"/>
    <col min="81" max="81" width="6.7109375" style="40" customWidth="1"/>
    <col min="82" max="82" width="1.7109375" style="38" customWidth="1"/>
    <col min="83" max="83" width="16.7109375" style="38" customWidth="1"/>
    <col min="84" max="84" width="6.7109375" style="41" customWidth="1"/>
    <col min="85" max="85" width="6.7109375" style="38" customWidth="1"/>
    <col min="86" max="86" width="6.7109375" style="40" customWidth="1"/>
    <col min="87" max="87" width="1.7109375" style="38" customWidth="1"/>
    <col min="88" max="16384" width="9.140625" style="38"/>
  </cols>
  <sheetData>
    <row r="2" spans="1:86" s="57" customFormat="1" ht="20.100000000000001" customHeight="1" x14ac:dyDescent="0.2">
      <c r="A2" s="56"/>
      <c r="B2" s="23"/>
      <c r="C2" s="24"/>
      <c r="E2" s="23"/>
      <c r="F2" s="23"/>
      <c r="H2" s="43" t="s">
        <v>5</v>
      </c>
      <c r="I2" s="48">
        <v>3.39</v>
      </c>
      <c r="J2" s="49" t="s">
        <v>9</v>
      </c>
      <c r="K2" s="64" t="s">
        <v>11</v>
      </c>
      <c r="M2" s="43" t="s">
        <v>12</v>
      </c>
      <c r="N2" s="48">
        <f>Dist1</f>
        <v>3.39</v>
      </c>
      <c r="O2" s="49" t="s">
        <v>9</v>
      </c>
      <c r="P2" s="64" t="s">
        <v>11</v>
      </c>
      <c r="R2" s="43" t="s">
        <v>13</v>
      </c>
      <c r="S2" s="48">
        <f>Dist1</f>
        <v>3.39</v>
      </c>
      <c r="T2" s="49" t="s">
        <v>9</v>
      </c>
      <c r="U2" s="64" t="s">
        <v>11</v>
      </c>
      <c r="W2" s="43" t="s">
        <v>14</v>
      </c>
      <c r="X2" s="48">
        <f>Dist1</f>
        <v>3.39</v>
      </c>
      <c r="Y2" s="49" t="s">
        <v>9</v>
      </c>
      <c r="Z2" s="64" t="s">
        <v>11</v>
      </c>
      <c r="AB2" s="43" t="s">
        <v>15</v>
      </c>
      <c r="AC2" s="48">
        <v>4</v>
      </c>
      <c r="AD2" s="49" t="s">
        <v>9</v>
      </c>
      <c r="AE2" s="64" t="s">
        <v>11</v>
      </c>
      <c r="AG2" s="43" t="s">
        <v>16</v>
      </c>
      <c r="AH2" s="48">
        <v>4.2699999999999996</v>
      </c>
      <c r="AI2" s="49" t="s">
        <v>9</v>
      </c>
      <c r="AJ2" s="64" t="s">
        <v>11</v>
      </c>
      <c r="AL2" s="43" t="s">
        <v>17</v>
      </c>
      <c r="AM2" s="48">
        <v>3.2</v>
      </c>
      <c r="AN2" s="49" t="s">
        <v>9</v>
      </c>
      <c r="AO2" s="64" t="s">
        <v>11</v>
      </c>
      <c r="AQ2" s="43" t="s">
        <v>18</v>
      </c>
      <c r="AR2" s="48">
        <v>5.13</v>
      </c>
      <c r="AS2" s="49" t="s">
        <v>9</v>
      </c>
      <c r="AT2" s="64" t="s">
        <v>11</v>
      </c>
      <c r="AV2" s="23"/>
      <c r="AW2" s="26"/>
      <c r="AX2" s="27"/>
      <c r="AY2" s="28"/>
      <c r="BB2" s="58"/>
      <c r="BD2" s="59"/>
      <c r="BG2" s="58"/>
      <c r="BI2" s="59"/>
      <c r="BL2" s="58"/>
      <c r="BN2" s="59"/>
      <c r="BQ2" s="58"/>
      <c r="BS2" s="59"/>
      <c r="BV2" s="58"/>
      <c r="BX2" s="59"/>
      <c r="CA2" s="58"/>
      <c r="CC2" s="59"/>
      <c r="CF2" s="58"/>
      <c r="CH2" s="59"/>
    </row>
    <row r="3" spans="1:86" s="57" customFormat="1" ht="20.100000000000001" customHeight="1" x14ac:dyDescent="0.2">
      <c r="A3" s="42" t="s">
        <v>0</v>
      </c>
      <c r="B3" s="43" t="s">
        <v>19</v>
      </c>
      <c r="C3" s="44" t="s">
        <v>10</v>
      </c>
      <c r="E3" s="43" t="s">
        <v>20</v>
      </c>
      <c r="F3" s="44" t="s">
        <v>10</v>
      </c>
      <c r="H3" s="50" t="s">
        <v>6</v>
      </c>
      <c r="I3" s="51" t="s">
        <v>7</v>
      </c>
      <c r="J3" s="65" t="s">
        <v>8</v>
      </c>
      <c r="K3" s="66" t="s">
        <v>10</v>
      </c>
      <c r="M3" s="50" t="s">
        <v>6</v>
      </c>
      <c r="N3" s="51" t="s">
        <v>7</v>
      </c>
      <c r="O3" s="65" t="s">
        <v>8</v>
      </c>
      <c r="P3" s="66" t="s">
        <v>10</v>
      </c>
      <c r="R3" s="50" t="s">
        <v>6</v>
      </c>
      <c r="S3" s="51" t="s">
        <v>7</v>
      </c>
      <c r="T3" s="65" t="s">
        <v>8</v>
      </c>
      <c r="U3" s="66" t="s">
        <v>10</v>
      </c>
      <c r="W3" s="50" t="s">
        <v>6</v>
      </c>
      <c r="X3" s="51" t="s">
        <v>7</v>
      </c>
      <c r="Y3" s="65" t="s">
        <v>8</v>
      </c>
      <c r="Z3" s="66" t="s">
        <v>10</v>
      </c>
      <c r="AB3" s="50" t="s">
        <v>6</v>
      </c>
      <c r="AC3" s="51" t="s">
        <v>7</v>
      </c>
      <c r="AD3" s="65" t="s">
        <v>8</v>
      </c>
      <c r="AE3" s="66" t="s">
        <v>10</v>
      </c>
      <c r="AG3" s="50" t="s">
        <v>6</v>
      </c>
      <c r="AH3" s="51" t="s">
        <v>7</v>
      </c>
      <c r="AI3" s="65" t="s">
        <v>8</v>
      </c>
      <c r="AJ3" s="66" t="s">
        <v>10</v>
      </c>
      <c r="AL3" s="50" t="s">
        <v>6</v>
      </c>
      <c r="AM3" s="51" t="s">
        <v>7</v>
      </c>
      <c r="AN3" s="65" t="s">
        <v>8</v>
      </c>
      <c r="AO3" s="66" t="s">
        <v>10</v>
      </c>
      <c r="AQ3" s="50" t="s">
        <v>6</v>
      </c>
      <c r="AR3" s="51" t="s">
        <v>7</v>
      </c>
      <c r="AS3" s="65" t="s">
        <v>8</v>
      </c>
      <c r="AT3" s="66" t="s">
        <v>10</v>
      </c>
      <c r="AV3" s="29"/>
      <c r="AW3" s="30"/>
      <c r="AX3" s="28"/>
      <c r="AY3" s="28"/>
      <c r="BB3" s="58"/>
      <c r="BD3" s="59"/>
      <c r="BG3" s="58"/>
      <c r="BI3" s="59"/>
      <c r="BL3" s="58"/>
      <c r="BN3" s="59"/>
      <c r="BQ3" s="58"/>
      <c r="BS3" s="59"/>
      <c r="BV3" s="58"/>
      <c r="BX3" s="59"/>
      <c r="CA3" s="58"/>
      <c r="CC3" s="59"/>
      <c r="CF3" s="58"/>
      <c r="CH3" s="59"/>
    </row>
    <row r="4" spans="1:86" s="25" customFormat="1" ht="20.100000000000001" customHeight="1" x14ac:dyDescent="0.2">
      <c r="A4" s="45" t="str">
        <f>'Team Selection'!B3</f>
        <v>Virgin Red</v>
      </c>
      <c r="B4" s="46">
        <f t="shared" ref="B4:B11" si="0">SUM(E4,E15)</f>
        <v>0.17864583333333334</v>
      </c>
      <c r="C4" s="47">
        <f t="shared" ref="C4:C11" si="1">RANK(B4,B$4:B$11,2)</f>
        <v>1</v>
      </c>
      <c r="E4" s="46">
        <f t="shared" ref="E4" si="2">SUM(I4,N4,S4,X4,AC4,AH4,AM4,AR4)</f>
        <v>8.3344907407407409E-2</v>
      </c>
      <c r="F4" s="47">
        <f t="shared" ref="F4:F11" si="3">RANK(E4,E$4:E$11,2)</f>
        <v>4</v>
      </c>
      <c r="H4" s="125" t="s">
        <v>71</v>
      </c>
      <c r="I4" s="53">
        <v>8.9583333333333338E-3</v>
      </c>
      <c r="J4" s="8">
        <f t="shared" ref="J4" si="4">I4/Dist1</f>
        <v>2.642576204523107E-3</v>
      </c>
      <c r="K4" s="9">
        <f t="shared" ref="K4:K11" si="5">IF(I4&gt;0,RANK(I4,$H$55:$H$86,1),)</f>
        <v>9</v>
      </c>
      <c r="M4" s="125" t="s">
        <v>76</v>
      </c>
      <c r="N4" s="53">
        <v>9.7106481481481471E-3</v>
      </c>
      <c r="O4" s="8">
        <f t="shared" ref="O4" si="6">N4/Dist1</f>
        <v>2.8644979788047631E-3</v>
      </c>
      <c r="P4" s="9">
        <f t="shared" ref="P4:P11" si="7">IF(N4&gt;0,RANK(N4,$H$55:$H$86,1),)</f>
        <v>23</v>
      </c>
      <c r="R4" s="125" t="s">
        <v>83</v>
      </c>
      <c r="S4" s="53">
        <v>1.119212962962963E-2</v>
      </c>
      <c r="T4" s="8">
        <f t="shared" ref="T4" si="8">S4/Dist2</f>
        <v>3.3015131650824866E-3</v>
      </c>
      <c r="U4" s="9">
        <f t="shared" ref="U4:U11" si="9">IF(S4&gt;0,RANK(S4,$H$55:$H$86,1),)</f>
        <v>31</v>
      </c>
      <c r="W4" s="125" t="s">
        <v>63</v>
      </c>
      <c r="X4" s="53">
        <v>7.8009259259259256E-3</v>
      </c>
      <c r="Y4" s="8">
        <f t="shared" ref="Y4" si="10">X4/Dist3</f>
        <v>2.3011580902436357E-3</v>
      </c>
      <c r="Z4" s="9">
        <f t="shared" ref="Z4:Z11" si="11">IF(X4&gt;0,RANK(X4,$H$55:$H$86,1),)</f>
        <v>1</v>
      </c>
      <c r="AB4" s="52" t="s">
        <v>71</v>
      </c>
      <c r="AC4" s="174">
        <v>1.2199074074074072E-2</v>
      </c>
      <c r="AD4" s="8">
        <f t="shared" ref="AD4" si="12">AC4/Dist4</f>
        <v>3.0497685185185181E-3</v>
      </c>
      <c r="AE4" s="9">
        <f t="shared" ref="AE4:AE11" si="13">IF(AC4&gt;0,RANK(AC4,AC$4:AC$11,1),)</f>
        <v>5</v>
      </c>
      <c r="AG4" s="52" t="s">
        <v>76</v>
      </c>
      <c r="AH4" s="174">
        <v>1.1284722222222222E-2</v>
      </c>
      <c r="AI4" s="8">
        <f t="shared" ref="AI4" si="14">AH4/Dist5</f>
        <v>2.6427920895134012E-3</v>
      </c>
      <c r="AJ4" s="9">
        <f t="shared" ref="AJ4:AJ11" si="15">IF(AH4&gt;0,RANK(AH4,AH$4:AH$11,1),)</f>
        <v>7</v>
      </c>
      <c r="AL4" s="52" t="s">
        <v>83</v>
      </c>
      <c r="AM4" s="53">
        <v>8.7847222222222233E-3</v>
      </c>
      <c r="AN4" s="8">
        <f t="shared" ref="AN4" si="16">AM4/Dist6</f>
        <v>2.7452256944444447E-3</v>
      </c>
      <c r="AO4" s="9">
        <f t="shared" ref="AO4:AO11" si="17">IF(AM4&gt;0,RANK(AM4,AM$4:AM$11,1),)</f>
        <v>7</v>
      </c>
      <c r="AQ4" s="52" t="s">
        <v>63</v>
      </c>
      <c r="AR4" s="176">
        <v>1.3414351851851851E-2</v>
      </c>
      <c r="AS4" s="8">
        <f t="shared" ref="AS4" si="18">AR4/Dist7</f>
        <v>2.6148834019204389E-3</v>
      </c>
      <c r="AT4" s="9">
        <f t="shared" ref="AT4:AT11" si="19">IF(AR4&gt;0,RANK(AR4,AR$4:AR$11,1),)</f>
        <v>2</v>
      </c>
      <c r="AV4" s="176" t="s">
        <v>92</v>
      </c>
      <c r="AW4" s="32"/>
      <c r="AX4" s="33"/>
      <c r="AY4" s="34"/>
    </row>
    <row r="5" spans="1:86" s="25" customFormat="1" ht="20.100000000000001" customHeight="1" x14ac:dyDescent="0.2">
      <c r="A5" s="45" t="str">
        <f>'Team Selection'!B4</f>
        <v>The Golden Bum-Taps</v>
      </c>
      <c r="B5" s="46">
        <f t="shared" si="0"/>
        <v>0.18092592592592593</v>
      </c>
      <c r="C5" s="47">
        <f t="shared" si="1"/>
        <v>6</v>
      </c>
      <c r="E5" s="46">
        <f t="shared" ref="E5:E11" si="20">SUM(I5,N5,S5,X5,AC5,AH5,AM5,AR5)</f>
        <v>8.4050925925925918E-2</v>
      </c>
      <c r="F5" s="47">
        <f t="shared" si="3"/>
        <v>8</v>
      </c>
      <c r="H5" s="125" t="s">
        <v>58</v>
      </c>
      <c r="I5" s="53">
        <v>9.571759259259259E-3</v>
      </c>
      <c r="J5" s="8">
        <f t="shared" ref="J5:J11" si="21">I5/Dist1</f>
        <v>2.8235278050912269E-3</v>
      </c>
      <c r="K5" s="9">
        <f t="shared" si="5"/>
        <v>20</v>
      </c>
      <c r="M5" s="125" t="s">
        <v>72</v>
      </c>
      <c r="N5" s="53">
        <v>8.7962962962962968E-3</v>
      </c>
      <c r="O5" s="8">
        <f t="shared" ref="O5:O11" si="22">N5/Dist1</f>
        <v>2.5947776685239813E-3</v>
      </c>
      <c r="P5" s="9">
        <f t="shared" si="7"/>
        <v>6</v>
      </c>
      <c r="R5" s="125" t="s">
        <v>80</v>
      </c>
      <c r="S5" s="53">
        <v>1.1875000000000002E-2</v>
      </c>
      <c r="T5" s="8">
        <f t="shared" ref="T5:T11" si="23">S5/Dist2</f>
        <v>3.502949852507375E-3</v>
      </c>
      <c r="U5" s="9">
        <f t="shared" si="9"/>
        <v>32</v>
      </c>
      <c r="W5" s="125" t="s">
        <v>64</v>
      </c>
      <c r="X5" s="53">
        <v>8.4143518518518517E-3</v>
      </c>
      <c r="Y5" s="8">
        <f t="shared" ref="Y5:Y11" si="24">X5/Dist3</f>
        <v>2.4821096908117556E-3</v>
      </c>
      <c r="Z5" s="9">
        <f t="shared" si="11"/>
        <v>2</v>
      </c>
      <c r="AB5" s="52" t="s">
        <v>58</v>
      </c>
      <c r="AC5" s="53">
        <v>1.2465277777777777E-2</v>
      </c>
      <c r="AD5" s="8">
        <f t="shared" ref="AD5:AD11" si="25">AC5/Dist4</f>
        <v>3.1163194444444441E-3</v>
      </c>
      <c r="AE5" s="9">
        <f t="shared" si="13"/>
        <v>7</v>
      </c>
      <c r="AG5" s="52" t="s">
        <v>72</v>
      </c>
      <c r="AH5" s="53">
        <v>1.019675925925926E-2</v>
      </c>
      <c r="AI5" s="8">
        <f t="shared" ref="AI5:AI11" si="26">AH5/Dist5</f>
        <v>2.3879998265244171E-3</v>
      </c>
      <c r="AJ5" s="9">
        <f t="shared" si="15"/>
        <v>1</v>
      </c>
      <c r="AL5" s="52" t="s">
        <v>80</v>
      </c>
      <c r="AM5" s="53">
        <v>9.5601851851851855E-3</v>
      </c>
      <c r="AN5" s="8">
        <f t="shared" ref="AN5:AN11" si="27">AM5/Dist6</f>
        <v>2.9875578703703705E-3</v>
      </c>
      <c r="AO5" s="9">
        <f t="shared" si="17"/>
        <v>8</v>
      </c>
      <c r="AQ5" s="52" t="s">
        <v>64</v>
      </c>
      <c r="AR5" s="53">
        <v>1.3171296296296294E-2</v>
      </c>
      <c r="AS5" s="8">
        <f t="shared" ref="AS5:AS11" si="28">AR5/Dist7</f>
        <v>2.5675041513248138E-3</v>
      </c>
      <c r="AT5" s="9">
        <f t="shared" si="19"/>
        <v>1</v>
      </c>
      <c r="AV5" s="31"/>
      <c r="AW5" s="32"/>
      <c r="AX5" s="33"/>
      <c r="AY5" s="34"/>
    </row>
    <row r="6" spans="1:86" s="25" customFormat="1" ht="20.100000000000001" customHeight="1" x14ac:dyDescent="0.2">
      <c r="A6" s="45" t="str">
        <f>'Team Selection'!B5</f>
        <v>Boogie Days</v>
      </c>
      <c r="B6" s="46">
        <f t="shared" si="0"/>
        <v>0.18106481481481479</v>
      </c>
      <c r="C6" s="47">
        <f t="shared" si="1"/>
        <v>7</v>
      </c>
      <c r="E6" s="46">
        <f t="shared" si="20"/>
        <v>8.3703703703703697E-2</v>
      </c>
      <c r="F6" s="47">
        <f t="shared" si="3"/>
        <v>6</v>
      </c>
      <c r="H6" s="125" t="s">
        <v>73</v>
      </c>
      <c r="I6" s="53">
        <v>1.0162037037037037E-2</v>
      </c>
      <c r="J6" s="8">
        <f t="shared" si="21"/>
        <v>2.9976510433737573E-3</v>
      </c>
      <c r="K6" s="9">
        <f t="shared" si="5"/>
        <v>25</v>
      </c>
      <c r="M6" s="125" t="s">
        <v>52</v>
      </c>
      <c r="N6" s="53">
        <v>9.0393518518518522E-3</v>
      </c>
      <c r="O6" s="8">
        <f t="shared" si="22"/>
        <v>2.66647547252267E-3</v>
      </c>
      <c r="P6" s="9">
        <f t="shared" si="7"/>
        <v>13</v>
      </c>
      <c r="R6" s="125" t="s">
        <v>82</v>
      </c>
      <c r="S6" s="53">
        <v>1.0439814814814813E-2</v>
      </c>
      <c r="T6" s="8">
        <f t="shared" si="23"/>
        <v>3.0795913908008296E-3</v>
      </c>
      <c r="U6" s="9">
        <f t="shared" si="9"/>
        <v>27</v>
      </c>
      <c r="W6" s="125" t="s">
        <v>65</v>
      </c>
      <c r="X6" s="53">
        <v>8.7847222222222233E-3</v>
      </c>
      <c r="Y6" s="8">
        <f t="shared" si="24"/>
        <v>2.5913634873811868E-3</v>
      </c>
      <c r="Z6" s="9">
        <f t="shared" si="11"/>
        <v>5</v>
      </c>
      <c r="AB6" s="52" t="s">
        <v>73</v>
      </c>
      <c r="AC6" s="53">
        <v>1.3032407407407407E-2</v>
      </c>
      <c r="AD6" s="8">
        <f t="shared" si="25"/>
        <v>3.2581018518518519E-3</v>
      </c>
      <c r="AE6" s="9">
        <f t="shared" si="13"/>
        <v>8</v>
      </c>
      <c r="AG6" s="52" t="s">
        <v>52</v>
      </c>
      <c r="AH6" s="53">
        <v>1.0474537037037037E-2</v>
      </c>
      <c r="AI6" s="8">
        <f t="shared" si="26"/>
        <v>2.4530531702662852E-3</v>
      </c>
      <c r="AJ6" s="9">
        <f t="shared" si="15"/>
        <v>2</v>
      </c>
      <c r="AL6" s="52" t="s">
        <v>82</v>
      </c>
      <c r="AM6" s="53">
        <v>8.0555555555555554E-3</v>
      </c>
      <c r="AN6" s="8">
        <f t="shared" si="27"/>
        <v>2.5173611111111108E-3</v>
      </c>
      <c r="AO6" s="9">
        <f t="shared" si="17"/>
        <v>3</v>
      </c>
      <c r="AQ6" s="52" t="s">
        <v>65</v>
      </c>
      <c r="AR6" s="53">
        <v>1.3715277777777778E-2</v>
      </c>
      <c r="AS6" s="8">
        <f t="shared" si="28"/>
        <v>2.6735434264674031E-3</v>
      </c>
      <c r="AT6" s="9">
        <f t="shared" si="19"/>
        <v>5</v>
      </c>
      <c r="AV6" s="31"/>
      <c r="AW6" s="32"/>
      <c r="AX6" s="33"/>
      <c r="AY6" s="34"/>
    </row>
    <row r="7" spans="1:86" s="25" customFormat="1" ht="20.100000000000001" customHeight="1" x14ac:dyDescent="0.2">
      <c r="A7" s="127" t="str">
        <f>'Team Selection'!B6</f>
        <v>From Dr Tu Undertaker</v>
      </c>
      <c r="B7" s="128">
        <f t="shared" si="0"/>
        <v>0.17868055555555556</v>
      </c>
      <c r="C7" s="47">
        <f t="shared" si="1"/>
        <v>2</v>
      </c>
      <c r="E7" s="46">
        <f t="shared" si="20"/>
        <v>8.3125000000000004E-2</v>
      </c>
      <c r="F7" s="47">
        <f t="shared" si="3"/>
        <v>3</v>
      </c>
      <c r="H7" s="125" t="s">
        <v>75</v>
      </c>
      <c r="I7" s="53">
        <v>9.3171296296296283E-3</v>
      </c>
      <c r="J7" s="8">
        <f t="shared" si="21"/>
        <v>2.7484158199497428E-3</v>
      </c>
      <c r="K7" s="9">
        <f t="shared" si="5"/>
        <v>16</v>
      </c>
      <c r="M7" s="125" t="s">
        <v>70</v>
      </c>
      <c r="N7" s="126">
        <v>8.9814814814814809E-3</v>
      </c>
      <c r="O7" s="8">
        <f t="shared" si="22"/>
        <v>2.6494045668086965E-3</v>
      </c>
      <c r="P7" s="9">
        <f t="shared" si="7"/>
        <v>10</v>
      </c>
      <c r="R7" s="125" t="s">
        <v>56</v>
      </c>
      <c r="S7" s="126">
        <v>1.0208333333333333E-2</v>
      </c>
      <c r="T7" s="8">
        <f t="shared" si="23"/>
        <v>3.0113077679449359E-3</v>
      </c>
      <c r="U7" s="9">
        <f t="shared" si="9"/>
        <v>26</v>
      </c>
      <c r="W7" s="125" t="s">
        <v>57</v>
      </c>
      <c r="X7" s="126">
        <v>8.6342592592592599E-3</v>
      </c>
      <c r="Y7" s="8">
        <f t="shared" si="24"/>
        <v>2.5469791325248552E-3</v>
      </c>
      <c r="Z7" s="9">
        <f t="shared" si="11"/>
        <v>4</v>
      </c>
      <c r="AB7" s="52" t="s">
        <v>75</v>
      </c>
      <c r="AC7" s="53">
        <v>1.1932870370370371E-2</v>
      </c>
      <c r="AD7" s="8">
        <f t="shared" si="25"/>
        <v>2.9832175925925929E-3</v>
      </c>
      <c r="AE7" s="9">
        <f t="shared" si="13"/>
        <v>3</v>
      </c>
      <c r="AG7" s="52" t="s">
        <v>70</v>
      </c>
      <c r="AH7" s="126">
        <v>1.1030092592592591E-2</v>
      </c>
      <c r="AI7" s="8">
        <f t="shared" si="26"/>
        <v>2.5831598577500219E-3</v>
      </c>
      <c r="AJ7" s="9">
        <f t="shared" si="15"/>
        <v>4</v>
      </c>
      <c r="AL7" s="52" t="s">
        <v>56</v>
      </c>
      <c r="AM7" s="126">
        <v>7.9976851851851858E-3</v>
      </c>
      <c r="AN7" s="8">
        <f t="shared" si="27"/>
        <v>2.4992766203703705E-3</v>
      </c>
      <c r="AO7" s="9">
        <f t="shared" si="17"/>
        <v>2</v>
      </c>
      <c r="AQ7" s="52" t="s">
        <v>57</v>
      </c>
      <c r="AR7" s="176">
        <v>1.5023148148148148E-2</v>
      </c>
      <c r="AS7" s="8">
        <f t="shared" si="28"/>
        <v>2.9284889177676704E-3</v>
      </c>
      <c r="AT7" s="9">
        <f t="shared" si="19"/>
        <v>8</v>
      </c>
      <c r="AV7" s="31"/>
      <c r="AW7" s="32"/>
      <c r="AX7" s="33"/>
      <c r="AY7" s="34"/>
    </row>
    <row r="8" spans="1:86" s="25" customFormat="1" ht="20.100000000000001" customHeight="1" x14ac:dyDescent="0.2">
      <c r="A8" s="45" t="str">
        <f>'Team Selection'!B7</f>
        <v>3 Captains and Duff</v>
      </c>
      <c r="B8" s="46">
        <f t="shared" si="0"/>
        <v>0.17952546296296296</v>
      </c>
      <c r="C8" s="47">
        <f t="shared" si="1"/>
        <v>5</v>
      </c>
      <c r="E8" s="46">
        <f t="shared" si="20"/>
        <v>8.3657407407407403E-2</v>
      </c>
      <c r="F8" s="47">
        <f t="shared" si="3"/>
        <v>5</v>
      </c>
      <c r="H8" s="125" t="s">
        <v>53</v>
      </c>
      <c r="I8" s="53">
        <v>9.4560185185185181E-3</v>
      </c>
      <c r="J8" s="8">
        <f t="shared" si="21"/>
        <v>2.7893859936632794E-3</v>
      </c>
      <c r="K8" s="9">
        <f t="shared" si="5"/>
        <v>19</v>
      </c>
      <c r="M8" s="125" t="s">
        <v>59</v>
      </c>
      <c r="N8" s="53">
        <v>9.3981481481481485E-3</v>
      </c>
      <c r="O8" s="8">
        <f t="shared" si="22"/>
        <v>2.7723150879493063E-3</v>
      </c>
      <c r="P8" s="9">
        <f t="shared" si="7"/>
        <v>18</v>
      </c>
      <c r="R8" s="125" t="s">
        <v>81</v>
      </c>
      <c r="S8" s="53">
        <v>1.0613425925925927E-2</v>
      </c>
      <c r="T8" s="8">
        <f t="shared" si="23"/>
        <v>3.1308041079427511E-3</v>
      </c>
      <c r="U8" s="9">
        <f t="shared" si="9"/>
        <v>28</v>
      </c>
      <c r="W8" s="125" t="s">
        <v>55</v>
      </c>
      <c r="X8" s="53">
        <v>8.9236111111111113E-3</v>
      </c>
      <c r="Y8" s="8">
        <f t="shared" si="24"/>
        <v>2.632333661094723E-3</v>
      </c>
      <c r="Z8" s="9">
        <f t="shared" si="11"/>
        <v>8</v>
      </c>
      <c r="AB8" s="52" t="s">
        <v>53</v>
      </c>
      <c r="AC8" s="53">
        <v>1.2280092592592592E-2</v>
      </c>
      <c r="AD8" s="8">
        <f t="shared" si="25"/>
        <v>3.0700231481481481E-3</v>
      </c>
      <c r="AE8" s="9">
        <f t="shared" si="13"/>
        <v>6</v>
      </c>
      <c r="AG8" s="52" t="s">
        <v>59</v>
      </c>
      <c r="AH8" s="53">
        <v>1.1157407407407408E-2</v>
      </c>
      <c r="AI8" s="8">
        <f t="shared" si="26"/>
        <v>2.6129759736317117E-3</v>
      </c>
      <c r="AJ8" s="9">
        <f t="shared" si="15"/>
        <v>5</v>
      </c>
      <c r="AL8" s="52" t="s">
        <v>81</v>
      </c>
      <c r="AM8" s="53">
        <v>8.4027777777777781E-3</v>
      </c>
      <c r="AN8" s="8">
        <f t="shared" si="27"/>
        <v>2.6258680555555553E-3</v>
      </c>
      <c r="AO8" s="9">
        <f t="shared" si="17"/>
        <v>6</v>
      </c>
      <c r="AQ8" s="52" t="s">
        <v>55</v>
      </c>
      <c r="AR8" s="53">
        <v>1.3425925925925924E-2</v>
      </c>
      <c r="AS8" s="8">
        <f t="shared" si="28"/>
        <v>2.6171395567107067E-3</v>
      </c>
      <c r="AT8" s="9">
        <f t="shared" si="19"/>
        <v>3</v>
      </c>
      <c r="AV8" s="31"/>
      <c r="AW8" s="32"/>
      <c r="AX8" s="33"/>
      <c r="AY8" s="34"/>
    </row>
    <row r="9" spans="1:86" s="25" customFormat="1" ht="20.100000000000001" customHeight="1" x14ac:dyDescent="0.2">
      <c r="A9" s="45" t="str">
        <f>'Team Selection'!B8</f>
        <v>Shattered and Sun Burnt</v>
      </c>
      <c r="B9" s="46">
        <f t="shared" si="0"/>
        <v>0.18349537037037034</v>
      </c>
      <c r="C9" s="47">
        <f t="shared" si="1"/>
        <v>8</v>
      </c>
      <c r="E9" s="46">
        <f t="shared" si="20"/>
        <v>8.3796296296296285E-2</v>
      </c>
      <c r="F9" s="47">
        <f t="shared" si="3"/>
        <v>7</v>
      </c>
      <c r="H9" s="125" t="s">
        <v>68</v>
      </c>
      <c r="I9" s="53">
        <v>9.1203703703703707E-3</v>
      </c>
      <c r="J9" s="8">
        <f t="shared" si="21"/>
        <v>2.6903747405222331E-3</v>
      </c>
      <c r="K9" s="9">
        <f t="shared" si="5"/>
        <v>15</v>
      </c>
      <c r="M9" s="125" t="s">
        <v>77</v>
      </c>
      <c r="N9" s="53">
        <v>9.6874999999999999E-3</v>
      </c>
      <c r="O9" s="8">
        <f t="shared" si="22"/>
        <v>2.857669616519174E-3</v>
      </c>
      <c r="P9" s="9">
        <f t="shared" si="7"/>
        <v>21</v>
      </c>
      <c r="R9" s="125" t="s">
        <v>78</v>
      </c>
      <c r="S9" s="53">
        <v>1.0787037037037038E-2</v>
      </c>
      <c r="T9" s="8">
        <f t="shared" si="23"/>
        <v>3.1820168250846718E-3</v>
      </c>
      <c r="U9" s="9">
        <f t="shared" si="9"/>
        <v>29</v>
      </c>
      <c r="W9" s="125" t="s">
        <v>54</v>
      </c>
      <c r="X9" s="53">
        <v>8.9930555555555545E-3</v>
      </c>
      <c r="Y9" s="8">
        <f t="shared" si="24"/>
        <v>2.652818747951491E-3</v>
      </c>
      <c r="Z9" s="9">
        <f t="shared" si="11"/>
        <v>11</v>
      </c>
      <c r="AB9" s="52" t="s">
        <v>68</v>
      </c>
      <c r="AC9" s="53">
        <v>1.2106481481481482E-2</v>
      </c>
      <c r="AD9" s="8">
        <v>1.1770833333333333E-2</v>
      </c>
      <c r="AE9" s="9">
        <f t="shared" si="13"/>
        <v>4</v>
      </c>
      <c r="AG9" s="52" t="s">
        <v>77</v>
      </c>
      <c r="AH9" s="53">
        <v>1.1261574074074071E-2</v>
      </c>
      <c r="AI9" s="8">
        <f t="shared" si="26"/>
        <v>2.6373709775349115E-3</v>
      </c>
      <c r="AJ9" s="9">
        <f t="shared" si="15"/>
        <v>6</v>
      </c>
      <c r="AL9" s="52" t="s">
        <v>78</v>
      </c>
      <c r="AM9" s="53">
        <v>8.217592592592594E-3</v>
      </c>
      <c r="AN9" s="8">
        <f t="shared" si="27"/>
        <v>2.5679976851851853E-3</v>
      </c>
      <c r="AO9" s="9">
        <f t="shared" si="17"/>
        <v>4</v>
      </c>
      <c r="AQ9" s="52" t="s">
        <v>54</v>
      </c>
      <c r="AR9" s="53">
        <v>1.3622685185185184E-2</v>
      </c>
      <c r="AS9" s="8">
        <f t="shared" si="28"/>
        <v>2.6554941881452602E-3</v>
      </c>
      <c r="AT9" s="9">
        <f t="shared" si="19"/>
        <v>4</v>
      </c>
      <c r="AV9" s="31"/>
      <c r="AW9" s="32"/>
      <c r="AX9" s="33"/>
      <c r="AY9" s="34"/>
    </row>
    <row r="10" spans="1:86" s="25" customFormat="1" ht="20.100000000000001" customHeight="1" x14ac:dyDescent="0.2">
      <c r="A10" s="45" t="str">
        <f>'Team Selection'!B9</f>
        <v>Chasing the View</v>
      </c>
      <c r="B10" s="46">
        <f t="shared" si="0"/>
        <v>0.17873842592592593</v>
      </c>
      <c r="C10" s="47">
        <f t="shared" si="1"/>
        <v>3</v>
      </c>
      <c r="E10" s="46">
        <f>SUM(I10,N10,S10,X10,AC10,AH10,AM10,AR10)</f>
        <v>8.2534722222222218E-2</v>
      </c>
      <c r="F10" s="47">
        <f t="shared" si="3"/>
        <v>1</v>
      </c>
      <c r="H10" s="125" t="s">
        <v>69</v>
      </c>
      <c r="I10" s="53">
        <v>9.0509259259259258E-3</v>
      </c>
      <c r="J10" s="8">
        <f t="shared" si="21"/>
        <v>2.6698896536654646E-3</v>
      </c>
      <c r="K10" s="9">
        <f t="shared" si="5"/>
        <v>14</v>
      </c>
      <c r="M10" s="125" t="s">
        <v>74</v>
      </c>
      <c r="N10" s="53">
        <v>9.3749999999999997E-3</v>
      </c>
      <c r="O10" s="8">
        <f t="shared" si="22"/>
        <v>2.7654867256637168E-3</v>
      </c>
      <c r="P10" s="9">
        <f t="shared" si="7"/>
        <v>17</v>
      </c>
      <c r="R10" s="125" t="s">
        <v>79</v>
      </c>
      <c r="S10" s="53">
        <v>1.0891203703703703E-2</v>
      </c>
      <c r="T10" s="8">
        <f t="shared" si="23"/>
        <v>3.2127444553698239E-3</v>
      </c>
      <c r="U10" s="9">
        <f t="shared" si="9"/>
        <v>30</v>
      </c>
      <c r="W10" s="125" t="s">
        <v>66</v>
      </c>
      <c r="X10" s="53">
        <v>8.518518518518519E-3</v>
      </c>
      <c r="Y10" s="8">
        <f t="shared" si="24"/>
        <v>2.5128373210969081E-3</v>
      </c>
      <c r="Z10" s="9">
        <f t="shared" si="11"/>
        <v>3</v>
      </c>
      <c r="AB10" s="52" t="s">
        <v>69</v>
      </c>
      <c r="AC10" s="53">
        <v>1.1759259259259259E-2</v>
      </c>
      <c r="AD10" s="8">
        <f t="shared" si="25"/>
        <v>2.9398148148148148E-3</v>
      </c>
      <c r="AE10" s="9">
        <f t="shared" si="13"/>
        <v>1</v>
      </c>
      <c r="AG10" s="52" t="s">
        <v>74</v>
      </c>
      <c r="AH10" s="53">
        <v>1.0567129629629629E-2</v>
      </c>
      <c r="AI10" s="8">
        <f t="shared" si="26"/>
        <v>2.4747376181802412E-3</v>
      </c>
      <c r="AJ10" s="9">
        <f t="shared" si="15"/>
        <v>3</v>
      </c>
      <c r="AL10" s="52" t="s">
        <v>79</v>
      </c>
      <c r="AM10" s="53">
        <v>8.2986111111111108E-3</v>
      </c>
      <c r="AN10" s="8">
        <f>AM10/Dist6</f>
        <v>2.5933159722222221E-3</v>
      </c>
      <c r="AO10" s="9">
        <f t="shared" si="17"/>
        <v>5</v>
      </c>
      <c r="AQ10" s="52" t="s">
        <v>66</v>
      </c>
      <c r="AR10" s="176">
        <v>1.4074074074074074E-2</v>
      </c>
      <c r="AS10" s="8">
        <f t="shared" si="28"/>
        <v>2.7434842249657067E-3</v>
      </c>
      <c r="AT10" s="9">
        <f t="shared" si="19"/>
        <v>6</v>
      </c>
      <c r="AV10" s="31"/>
      <c r="AW10" s="32"/>
      <c r="AX10" s="33"/>
      <c r="AY10" s="34"/>
    </row>
    <row r="11" spans="1:86" s="25" customFormat="1" ht="20.100000000000001" customHeight="1" x14ac:dyDescent="0.2">
      <c r="A11" s="45" t="str">
        <f>'Team Selection'!B10</f>
        <v>Greener Pastures</v>
      </c>
      <c r="B11" s="46">
        <f t="shared" si="0"/>
        <v>0.17931712962962962</v>
      </c>
      <c r="C11" s="47">
        <f t="shared" si="1"/>
        <v>4</v>
      </c>
      <c r="E11" s="46">
        <f t="shared" si="20"/>
        <v>8.2881944444444439E-2</v>
      </c>
      <c r="F11" s="47">
        <f t="shared" si="3"/>
        <v>2</v>
      </c>
      <c r="H11" s="125" t="s">
        <v>51</v>
      </c>
      <c r="I11" s="53">
        <v>9.0162037037037034E-3</v>
      </c>
      <c r="J11" s="8">
        <f t="shared" si="21"/>
        <v>2.6596471102370805E-3</v>
      </c>
      <c r="K11" s="9">
        <f t="shared" si="5"/>
        <v>12</v>
      </c>
      <c r="M11" s="125" t="s">
        <v>61</v>
      </c>
      <c r="N11" s="53">
        <v>9.6874999999999999E-3</v>
      </c>
      <c r="O11" s="8">
        <f t="shared" si="22"/>
        <v>2.857669616519174E-3</v>
      </c>
      <c r="P11" s="9">
        <f t="shared" si="7"/>
        <v>21</v>
      </c>
      <c r="R11" s="125" t="s">
        <v>60</v>
      </c>
      <c r="S11" s="53">
        <v>9.7685185185185184E-3</v>
      </c>
      <c r="T11" s="8">
        <f t="shared" si="23"/>
        <v>2.8815688845187371E-3</v>
      </c>
      <c r="U11" s="9">
        <f t="shared" si="9"/>
        <v>24</v>
      </c>
      <c r="W11" s="125" t="s">
        <v>67</v>
      </c>
      <c r="X11" s="53">
        <v>8.8541666666666664E-3</v>
      </c>
      <c r="Y11" s="8">
        <f t="shared" si="24"/>
        <v>2.6118485742379544E-3</v>
      </c>
      <c r="Z11" s="9">
        <f t="shared" si="11"/>
        <v>7</v>
      </c>
      <c r="AB11" s="52" t="s">
        <v>51</v>
      </c>
      <c r="AC11" s="53">
        <v>1.1886574074074075E-2</v>
      </c>
      <c r="AD11" s="8">
        <f t="shared" si="25"/>
        <v>2.9716435185185189E-3</v>
      </c>
      <c r="AE11" s="9">
        <f t="shared" si="13"/>
        <v>2</v>
      </c>
      <c r="AG11" s="52" t="s">
        <v>61</v>
      </c>
      <c r="AH11" s="53">
        <v>1.1284722222222222E-2</v>
      </c>
      <c r="AI11" s="8">
        <f t="shared" si="26"/>
        <v>2.6427920895134012E-3</v>
      </c>
      <c r="AJ11" s="9">
        <f t="shared" si="15"/>
        <v>7</v>
      </c>
      <c r="AL11" s="52" t="s">
        <v>60</v>
      </c>
      <c r="AM11" s="53">
        <v>7.7314814814814815E-3</v>
      </c>
      <c r="AN11" s="8">
        <f t="shared" si="27"/>
        <v>2.4160879629629628E-3</v>
      </c>
      <c r="AO11" s="9">
        <f t="shared" si="17"/>
        <v>1</v>
      </c>
      <c r="AQ11" s="52" t="s">
        <v>67</v>
      </c>
      <c r="AR11" s="176">
        <v>1.4652777777777778E-2</v>
      </c>
      <c r="AS11" s="8">
        <f t="shared" si="28"/>
        <v>2.856291964479099E-3</v>
      </c>
      <c r="AT11" s="9">
        <f t="shared" si="19"/>
        <v>7</v>
      </c>
      <c r="AV11" s="31"/>
      <c r="AW11" s="32"/>
      <c r="AX11" s="33"/>
      <c r="AY11" s="34"/>
    </row>
    <row r="12" spans="1:86" ht="20.100000000000001" customHeight="1" x14ac:dyDescent="0.2">
      <c r="I12" s="39"/>
      <c r="J12" s="40"/>
      <c r="N12" s="39"/>
      <c r="O12" s="40"/>
      <c r="S12" s="39"/>
      <c r="T12" s="40"/>
      <c r="X12" s="39"/>
      <c r="Y12" s="40"/>
      <c r="AC12" s="39"/>
      <c r="AD12" s="40"/>
      <c r="AH12" s="39"/>
      <c r="AI12" s="40"/>
      <c r="AM12" s="39"/>
      <c r="AN12" s="40"/>
      <c r="AR12" s="39"/>
      <c r="AS12" s="40"/>
      <c r="AW12" s="39"/>
      <c r="AX12" s="40"/>
      <c r="BB12" s="39"/>
      <c r="BC12" s="40"/>
      <c r="BG12" s="39"/>
      <c r="BH12" s="40"/>
      <c r="BL12" s="39"/>
      <c r="BM12" s="40"/>
      <c r="BQ12" s="39"/>
      <c r="BR12" s="40"/>
      <c r="BV12" s="39"/>
      <c r="BW12" s="40"/>
      <c r="CA12" s="39"/>
      <c r="CB12" s="40"/>
      <c r="CF12" s="39"/>
      <c r="CG12" s="40"/>
    </row>
    <row r="13" spans="1:86" s="57" customFormat="1" ht="20.100000000000001" customHeight="1" x14ac:dyDescent="0.2">
      <c r="A13" s="60"/>
      <c r="B13" s="61"/>
      <c r="C13" s="62"/>
      <c r="E13" s="61"/>
      <c r="F13" s="61"/>
      <c r="H13" s="43" t="s">
        <v>21</v>
      </c>
      <c r="I13" s="48">
        <v>3.66</v>
      </c>
      <c r="J13" s="49" t="s">
        <v>9</v>
      </c>
      <c r="K13" s="64" t="s">
        <v>11</v>
      </c>
      <c r="M13" s="43" t="s">
        <v>22</v>
      </c>
      <c r="N13" s="48">
        <v>3.7</v>
      </c>
      <c r="O13" s="49" t="s">
        <v>9</v>
      </c>
      <c r="P13" s="64" t="s">
        <v>11</v>
      </c>
      <c r="R13" s="43" t="s">
        <v>23</v>
      </c>
      <c r="S13" s="48">
        <v>5.3</v>
      </c>
      <c r="T13" s="49" t="s">
        <v>9</v>
      </c>
      <c r="U13" s="64" t="s">
        <v>11</v>
      </c>
      <c r="W13" s="43" t="s">
        <v>24</v>
      </c>
      <c r="X13" s="48">
        <v>4.5</v>
      </c>
      <c r="Y13" s="49" t="s">
        <v>9</v>
      </c>
      <c r="Z13" s="64" t="s">
        <v>11</v>
      </c>
      <c r="AB13" s="43" t="s">
        <v>25</v>
      </c>
      <c r="AC13" s="48">
        <v>4.5</v>
      </c>
      <c r="AD13" s="49" t="s">
        <v>9</v>
      </c>
      <c r="AE13" s="64" t="s">
        <v>11</v>
      </c>
      <c r="AG13" s="43" t="s">
        <v>26</v>
      </c>
      <c r="AH13" s="48">
        <v>4.21</v>
      </c>
      <c r="AI13" s="49" t="s">
        <v>9</v>
      </c>
      <c r="AJ13" s="64" t="s">
        <v>11</v>
      </c>
      <c r="AL13" s="43" t="s">
        <v>48</v>
      </c>
      <c r="AM13" s="48">
        <v>4.49</v>
      </c>
      <c r="AN13" s="49" t="s">
        <v>9</v>
      </c>
      <c r="AO13" s="64" t="s">
        <v>11</v>
      </c>
      <c r="AQ13" s="43" t="s">
        <v>49</v>
      </c>
      <c r="AR13" s="48">
        <v>3.66</v>
      </c>
      <c r="AS13" s="49" t="s">
        <v>9</v>
      </c>
      <c r="AT13" s="64" t="s">
        <v>11</v>
      </c>
      <c r="AV13" s="23"/>
      <c r="AW13" s="26"/>
      <c r="AX13" s="27"/>
      <c r="AY13" s="28"/>
      <c r="BB13" s="63"/>
      <c r="BC13" s="59"/>
      <c r="BD13" s="59"/>
      <c r="BG13" s="63"/>
      <c r="BH13" s="59"/>
      <c r="BI13" s="59"/>
      <c r="BL13" s="63"/>
      <c r="BM13" s="59"/>
      <c r="BN13" s="59"/>
      <c r="BQ13" s="63"/>
      <c r="BR13" s="59"/>
      <c r="BS13" s="59"/>
      <c r="BV13" s="63"/>
      <c r="BW13" s="59"/>
      <c r="BX13" s="59"/>
      <c r="CA13" s="63"/>
      <c r="CB13" s="59"/>
      <c r="CC13" s="59"/>
      <c r="CF13" s="63"/>
      <c r="CG13" s="59"/>
      <c r="CH13" s="59"/>
    </row>
    <row r="14" spans="1:86" s="57" customFormat="1" ht="20.100000000000001" customHeight="1" x14ac:dyDescent="0.2">
      <c r="A14" s="54" t="s">
        <v>0</v>
      </c>
      <c r="B14" s="61"/>
      <c r="C14" s="62"/>
      <c r="E14" s="43" t="s">
        <v>27</v>
      </c>
      <c r="F14" s="44" t="s">
        <v>10</v>
      </c>
      <c r="H14" s="50" t="s">
        <v>6</v>
      </c>
      <c r="I14" s="51" t="s">
        <v>7</v>
      </c>
      <c r="J14" s="65" t="s">
        <v>8</v>
      </c>
      <c r="K14" s="66" t="s">
        <v>10</v>
      </c>
      <c r="M14" s="50" t="s">
        <v>6</v>
      </c>
      <c r="N14" s="51" t="s">
        <v>7</v>
      </c>
      <c r="O14" s="65" t="s">
        <v>8</v>
      </c>
      <c r="P14" s="66" t="s">
        <v>10</v>
      </c>
      <c r="R14" s="50" t="s">
        <v>6</v>
      </c>
      <c r="S14" s="51" t="s">
        <v>7</v>
      </c>
      <c r="T14" s="65" t="s">
        <v>8</v>
      </c>
      <c r="U14" s="66" t="s">
        <v>10</v>
      </c>
      <c r="W14" s="50" t="s">
        <v>6</v>
      </c>
      <c r="X14" s="51" t="s">
        <v>7</v>
      </c>
      <c r="Y14" s="65" t="s">
        <v>8</v>
      </c>
      <c r="Z14" s="66" t="s">
        <v>10</v>
      </c>
      <c r="AB14" s="50" t="s">
        <v>6</v>
      </c>
      <c r="AC14" s="51" t="s">
        <v>7</v>
      </c>
      <c r="AD14" s="65" t="s">
        <v>8</v>
      </c>
      <c r="AE14" s="66" t="s">
        <v>10</v>
      </c>
      <c r="AG14" s="50" t="s">
        <v>6</v>
      </c>
      <c r="AH14" s="51" t="s">
        <v>7</v>
      </c>
      <c r="AI14" s="65" t="s">
        <v>8</v>
      </c>
      <c r="AJ14" s="66" t="s">
        <v>10</v>
      </c>
      <c r="AL14" s="50" t="s">
        <v>6</v>
      </c>
      <c r="AM14" s="51" t="s">
        <v>7</v>
      </c>
      <c r="AN14" s="65" t="s">
        <v>8</v>
      </c>
      <c r="AO14" s="66" t="s">
        <v>10</v>
      </c>
      <c r="AQ14" s="50" t="s">
        <v>6</v>
      </c>
      <c r="AR14" s="51" t="s">
        <v>7</v>
      </c>
      <c r="AS14" s="65" t="s">
        <v>8</v>
      </c>
      <c r="AT14" s="66" t="s">
        <v>10</v>
      </c>
      <c r="AV14" s="29"/>
      <c r="AW14" s="30"/>
      <c r="AX14" s="28"/>
      <c r="AY14" s="28"/>
      <c r="BB14" s="63"/>
      <c r="BC14" s="59"/>
      <c r="BD14" s="59"/>
      <c r="BG14" s="63"/>
      <c r="BH14" s="59"/>
      <c r="BI14" s="59"/>
      <c r="BL14" s="63"/>
      <c r="BM14" s="59"/>
      <c r="BN14" s="59"/>
      <c r="BQ14" s="63"/>
      <c r="BR14" s="59"/>
      <c r="BS14" s="59"/>
      <c r="BV14" s="63"/>
      <c r="BW14" s="59"/>
      <c r="BX14" s="59"/>
      <c r="CA14" s="63"/>
      <c r="CB14" s="59"/>
      <c r="CC14" s="59"/>
      <c r="CF14" s="63"/>
      <c r="CG14" s="59"/>
      <c r="CH14" s="59"/>
    </row>
    <row r="15" spans="1:86" ht="20.100000000000001" customHeight="1" x14ac:dyDescent="0.2">
      <c r="A15" s="55" t="str">
        <f t="shared" ref="A15:A22" si="29">A4</f>
        <v>Virgin Red</v>
      </c>
      <c r="E15" s="46">
        <f t="shared" ref="E15" si="30">SUM(I15,N15,S15,X15,AC15,AH15,AM15,AR15)</f>
        <v>9.5300925925925928E-2</v>
      </c>
      <c r="F15" s="47">
        <f t="shared" ref="F15:F22" si="31">RANK(E15,E$15:E$22,2)</f>
        <v>1</v>
      </c>
      <c r="H15" s="52" t="s">
        <v>83</v>
      </c>
      <c r="I15" s="174">
        <v>1.2951388888888887E-2</v>
      </c>
      <c r="J15" s="8">
        <f t="shared" ref="J15" si="32">I15/Dist8</f>
        <v>3.5386308439587125E-3</v>
      </c>
      <c r="K15" s="9">
        <f t="shared" ref="K15:K22" si="33">IF(I15&gt;0,RANK(I15,I$15:I$22,1),)</f>
        <v>8</v>
      </c>
      <c r="L15" s="25"/>
      <c r="M15" s="52" t="s">
        <v>71</v>
      </c>
      <c r="N15" s="174">
        <v>1.1041666666666667E-2</v>
      </c>
      <c r="O15" s="8">
        <f t="shared" ref="O15" si="34">N15/N$13</f>
        <v>2.9842342342342341E-3</v>
      </c>
      <c r="P15" s="9">
        <f t="shared" ref="P15:P22" si="35">IF(N15&gt;0,RANK(N15,N$15:N$22,1),)</f>
        <v>3</v>
      </c>
      <c r="Q15" s="25"/>
      <c r="R15" s="52" t="s">
        <v>63</v>
      </c>
      <c r="S15" s="53">
        <v>1.2569444444444446E-2</v>
      </c>
      <c r="T15" s="8">
        <f t="shared" ref="T15" si="36">S15/Dist9</f>
        <v>2.3715932914046126E-3</v>
      </c>
      <c r="U15" s="9">
        <f t="shared" ref="U15:U22" si="37">IF(S15&gt;0,RANK(S15,S$15:S$22,1),)</f>
        <v>1</v>
      </c>
      <c r="V15" s="25"/>
      <c r="W15" s="52" t="s">
        <v>76</v>
      </c>
      <c r="X15" s="174">
        <v>1.255787037037037E-2</v>
      </c>
      <c r="Y15" s="8">
        <f t="shared" ref="Y15" si="38">X15/Dist10</f>
        <v>2.7906378600823043E-3</v>
      </c>
      <c r="Z15" s="9">
        <f t="shared" ref="Z15:Z22" si="39">IF(X15&gt;0,RANK(X15,X$15:X$22,1),)</f>
        <v>6</v>
      </c>
      <c r="AA15" s="25"/>
      <c r="AB15" s="52" t="s">
        <v>63</v>
      </c>
      <c r="AC15" s="174">
        <v>1.0960648148148148E-2</v>
      </c>
      <c r="AD15" s="8">
        <f t="shared" ref="AD15" si="40">AC15/Dist11</f>
        <v>2.4356995884773662E-3</v>
      </c>
      <c r="AE15" s="9">
        <f t="shared" ref="AE15:AE22" si="41">IF(AC15&gt;0,RANK(AC15,AC$15:AC$22,1),)</f>
        <v>1</v>
      </c>
      <c r="AF15" s="25"/>
      <c r="AG15" s="52" t="s">
        <v>71</v>
      </c>
      <c r="AH15" s="174">
        <v>1.1273148148148148E-2</v>
      </c>
      <c r="AI15" s="8">
        <f t="shared" ref="AI15:AI22" si="42">AH15/Dist12</f>
        <v>2.6777073986100114E-3</v>
      </c>
      <c r="AJ15" s="9">
        <f t="shared" ref="AJ15:AJ22" si="43">IF(AH15&gt;0,RANK(AH15,AH$15:AH$22,1),)</f>
        <v>1</v>
      </c>
      <c r="AK15" s="25"/>
      <c r="AL15" s="52" t="s">
        <v>83</v>
      </c>
      <c r="AM15" s="174">
        <v>1.3680555555555555E-2</v>
      </c>
      <c r="AN15" s="8">
        <f t="shared" ref="AN15" si="44">AM15/Dist13</f>
        <v>3.0468943330858697E-3</v>
      </c>
      <c r="AO15" s="9">
        <f t="shared" ref="AO15:AO22" si="45">IF(AM15&gt;0,RANK(AM15,AM$15:AM$22,1),)</f>
        <v>8</v>
      </c>
      <c r="AP15" s="25"/>
      <c r="AQ15" s="52" t="s">
        <v>76</v>
      </c>
      <c r="AR15" s="53">
        <v>1.0266203703703703E-2</v>
      </c>
      <c r="AS15" s="8">
        <f t="shared" ref="AS15" si="46">AR15/Dist14</f>
        <v>2.8049736895365308E-3</v>
      </c>
      <c r="AT15" s="9">
        <f t="shared" ref="AT15:AT22" si="47">IF(AR15&gt;0,RANK(AR15,AR$15:AR$22,1),)</f>
        <v>2</v>
      </c>
      <c r="AU15" s="25"/>
      <c r="AV15" s="31"/>
      <c r="AW15" s="32"/>
      <c r="AX15" s="33"/>
      <c r="AY15" s="34"/>
      <c r="AZ15" s="25"/>
      <c r="BB15" s="39"/>
      <c r="BC15" s="40"/>
      <c r="BG15" s="39"/>
      <c r="BH15" s="40"/>
      <c r="BL15" s="39"/>
      <c r="BM15" s="40"/>
      <c r="BQ15" s="39"/>
      <c r="BR15" s="40"/>
      <c r="BV15" s="39"/>
      <c r="BW15" s="40"/>
      <c r="CA15" s="39"/>
      <c r="CB15" s="40"/>
      <c r="CF15" s="39"/>
      <c r="CG15" s="40"/>
    </row>
    <row r="16" spans="1:86" ht="20.100000000000001" customHeight="1" x14ac:dyDescent="0.2">
      <c r="A16" s="55" t="str">
        <f t="shared" si="29"/>
        <v>The Golden Bum-Taps</v>
      </c>
      <c r="E16" s="46">
        <f t="shared" ref="E16:E22" si="48">SUM(I16,N16,S16,X16,AC16,AH16,AM16,AR16)</f>
        <v>9.6875000000000003E-2</v>
      </c>
      <c r="F16" s="47">
        <f t="shared" si="31"/>
        <v>6</v>
      </c>
      <c r="H16" s="52" t="s">
        <v>58</v>
      </c>
      <c r="I16" s="53">
        <v>1.1319444444444444E-2</v>
      </c>
      <c r="J16" s="8">
        <f t="shared" ref="J16:J22" si="49">I16/Dist8</f>
        <v>3.0927443837279901E-3</v>
      </c>
      <c r="K16" s="9">
        <f t="shared" si="33"/>
        <v>3</v>
      </c>
      <c r="L16" s="25"/>
      <c r="M16" s="52" t="s">
        <v>80</v>
      </c>
      <c r="N16" s="53">
        <v>1.4374999999999999E-2</v>
      </c>
      <c r="O16" s="8">
        <f t="shared" ref="O16:O22" si="50">N16/N$13</f>
        <v>3.8851351351351345E-3</v>
      </c>
      <c r="P16" s="9">
        <f t="shared" si="35"/>
        <v>8</v>
      </c>
      <c r="Q16" s="25"/>
      <c r="R16" s="52" t="s">
        <v>64</v>
      </c>
      <c r="S16" s="53">
        <v>1.3506944444444445E-2</v>
      </c>
      <c r="T16" s="8">
        <f t="shared" ref="T16:T22" si="51">S16/Dist9</f>
        <v>2.5484800838574424E-3</v>
      </c>
      <c r="U16" s="9">
        <f t="shared" si="37"/>
        <v>2</v>
      </c>
      <c r="V16" s="25"/>
      <c r="W16" s="52" t="s">
        <v>72</v>
      </c>
      <c r="X16" s="53">
        <v>1.1157407407407408E-2</v>
      </c>
      <c r="Y16" s="8">
        <f t="shared" ref="Y16:Y22" si="52">X16/Dist10</f>
        <v>2.4794238683127573E-3</v>
      </c>
      <c r="Z16" s="9">
        <f t="shared" si="39"/>
        <v>1</v>
      </c>
      <c r="AA16" s="25"/>
      <c r="AB16" s="52" t="s">
        <v>64</v>
      </c>
      <c r="AC16" s="53">
        <v>1.1759259259259259E-2</v>
      </c>
      <c r="AD16" s="8">
        <f t="shared" ref="AD16:AD22" si="53">AC16/Dist11</f>
        <v>2.6131687242798352E-3</v>
      </c>
      <c r="AE16" s="9">
        <f t="shared" si="41"/>
        <v>2</v>
      </c>
      <c r="AF16" s="25"/>
      <c r="AG16" s="52" t="s">
        <v>58</v>
      </c>
      <c r="AH16" s="53">
        <v>1.1307870370370371E-2</v>
      </c>
      <c r="AI16" s="8">
        <f t="shared" ref="AI16:AI21" si="54">AH16/Dist12</f>
        <v>2.6859549573326298E-3</v>
      </c>
      <c r="AJ16" s="9">
        <f t="shared" si="43"/>
        <v>2</v>
      </c>
      <c r="AK16" s="25"/>
      <c r="AL16" s="52" t="s">
        <v>72</v>
      </c>
      <c r="AM16" s="53">
        <v>1.0717592592592593E-2</v>
      </c>
      <c r="AN16" s="8">
        <f t="shared" ref="AN16:AN22" si="55">AM16/Dist13</f>
        <v>2.3869916687288624E-3</v>
      </c>
      <c r="AO16" s="9">
        <f t="shared" si="45"/>
        <v>2</v>
      </c>
      <c r="AP16" s="25"/>
      <c r="AQ16" s="52" t="s">
        <v>80</v>
      </c>
      <c r="AR16" s="53">
        <v>1.2731481481481481E-2</v>
      </c>
      <c r="AS16" s="8">
        <f t="shared" ref="AS16:AS22" si="56">AR16/Dist14</f>
        <v>3.4785468528637925E-3</v>
      </c>
      <c r="AT16" s="9">
        <f t="shared" si="47"/>
        <v>8</v>
      </c>
      <c r="AU16" s="25"/>
      <c r="AV16" s="31"/>
      <c r="AW16" s="32"/>
      <c r="AX16" s="33"/>
      <c r="AY16" s="34"/>
      <c r="AZ16" s="25"/>
      <c r="BB16" s="39"/>
      <c r="BC16" s="40"/>
      <c r="BG16" s="39"/>
      <c r="BH16" s="40"/>
      <c r="BL16" s="39"/>
      <c r="BM16" s="40"/>
      <c r="BQ16" s="39"/>
      <c r="BR16" s="40"/>
      <c r="BV16" s="39"/>
      <c r="BW16" s="40"/>
      <c r="CA16" s="39"/>
      <c r="CB16" s="40"/>
      <c r="CF16" s="39"/>
      <c r="CG16" s="40"/>
    </row>
    <row r="17" spans="1:85" ht="20.100000000000001" customHeight="1" x14ac:dyDescent="0.2">
      <c r="A17" s="55" t="str">
        <f t="shared" si="29"/>
        <v>Boogie Days</v>
      </c>
      <c r="E17" s="46">
        <f t="shared" si="48"/>
        <v>9.7361111111111093E-2</v>
      </c>
      <c r="F17" s="47">
        <f t="shared" si="31"/>
        <v>7</v>
      </c>
      <c r="H17" s="52" t="s">
        <v>73</v>
      </c>
      <c r="I17" s="53">
        <v>1.1863425925925925E-2</v>
      </c>
      <c r="J17" s="8">
        <f t="shared" si="49"/>
        <v>3.2413732038048975E-3</v>
      </c>
      <c r="K17" s="9">
        <f t="shared" si="33"/>
        <v>5</v>
      </c>
      <c r="L17" s="25"/>
      <c r="M17" s="52" t="s">
        <v>52</v>
      </c>
      <c r="N17" s="53">
        <v>1.0717592592592593E-2</v>
      </c>
      <c r="O17" s="8">
        <f t="shared" si="50"/>
        <v>2.8966466466466465E-3</v>
      </c>
      <c r="P17" s="9">
        <f t="shared" si="35"/>
        <v>1</v>
      </c>
      <c r="Q17" s="25"/>
      <c r="R17" s="52" t="s">
        <v>65</v>
      </c>
      <c r="S17" s="53">
        <v>1.4837962962962963E-2</v>
      </c>
      <c r="T17" s="8">
        <f t="shared" si="51"/>
        <v>2.7996156533892382E-3</v>
      </c>
      <c r="U17" s="9">
        <f t="shared" si="37"/>
        <v>8</v>
      </c>
      <c r="V17" s="25"/>
      <c r="W17" s="52" t="s">
        <v>82</v>
      </c>
      <c r="X17" s="53">
        <v>1.34375E-2</v>
      </c>
      <c r="Y17" s="8">
        <f t="shared" si="52"/>
        <v>2.9861111111111113E-3</v>
      </c>
      <c r="Z17" s="9">
        <f t="shared" si="39"/>
        <v>8</v>
      </c>
      <c r="AA17" s="25"/>
      <c r="AB17" s="52" t="s">
        <v>52</v>
      </c>
      <c r="AC17" s="53">
        <v>1.2731481481481481E-2</v>
      </c>
      <c r="AD17" s="8">
        <f t="shared" si="53"/>
        <v>2.8292181069958845E-3</v>
      </c>
      <c r="AE17" s="9">
        <f t="shared" si="41"/>
        <v>6</v>
      </c>
      <c r="AF17" s="25"/>
      <c r="AG17" s="52" t="s">
        <v>73</v>
      </c>
      <c r="AH17" s="53">
        <v>1.252314814814815E-2</v>
      </c>
      <c r="AI17" s="8">
        <f t="shared" si="54"/>
        <v>2.9746195126242637E-3</v>
      </c>
      <c r="AJ17" s="9">
        <f t="shared" si="43"/>
        <v>6</v>
      </c>
      <c r="AK17" s="25"/>
      <c r="AL17" s="52" t="s">
        <v>65</v>
      </c>
      <c r="AM17" s="53">
        <v>1.0173611111111111E-2</v>
      </c>
      <c r="AN17" s="8">
        <f t="shared" si="55"/>
        <v>2.2658376639445679E-3</v>
      </c>
      <c r="AO17" s="9">
        <f t="shared" si="45"/>
        <v>1</v>
      </c>
      <c r="AP17" s="25"/>
      <c r="AQ17" s="52" t="s">
        <v>82</v>
      </c>
      <c r="AR17" s="53">
        <v>1.1076388888888887E-2</v>
      </c>
      <c r="AS17" s="8">
        <f t="shared" si="56"/>
        <v>3.0263357619914992E-3</v>
      </c>
      <c r="AT17" s="9">
        <f t="shared" si="47"/>
        <v>6</v>
      </c>
      <c r="AU17" s="25"/>
      <c r="AV17" s="31"/>
      <c r="AW17" s="32"/>
      <c r="AX17" s="33"/>
      <c r="AY17" s="34"/>
      <c r="AZ17" s="25"/>
      <c r="BB17" s="39"/>
      <c r="BC17" s="40"/>
      <c r="BG17" s="39"/>
      <c r="BH17" s="40"/>
      <c r="BL17" s="39"/>
      <c r="BM17" s="40"/>
      <c r="BQ17" s="39"/>
      <c r="BR17" s="40"/>
      <c r="BV17" s="39"/>
      <c r="BW17" s="40"/>
      <c r="CA17" s="39"/>
      <c r="CB17" s="40"/>
      <c r="CF17" s="39"/>
      <c r="CG17" s="40"/>
    </row>
    <row r="18" spans="1:85" ht="20.100000000000001" customHeight="1" x14ac:dyDescent="0.2">
      <c r="A18" s="129" t="str">
        <f t="shared" si="29"/>
        <v>From Dr Tu Undertaker</v>
      </c>
      <c r="E18" s="46">
        <f t="shared" si="48"/>
        <v>9.555555555555556E-2</v>
      </c>
      <c r="F18" s="47">
        <f t="shared" si="31"/>
        <v>2</v>
      </c>
      <c r="H18" s="52" t="s">
        <v>75</v>
      </c>
      <c r="I18" s="53">
        <v>1.0833333333333334E-2</v>
      </c>
      <c r="J18" s="8">
        <f t="shared" si="49"/>
        <v>2.9599271402550092E-3</v>
      </c>
      <c r="K18" s="9">
        <f t="shared" si="33"/>
        <v>1</v>
      </c>
      <c r="L18" s="25"/>
      <c r="M18" s="52" t="s">
        <v>56</v>
      </c>
      <c r="N18" s="126">
        <v>1.2708333333333334E-2</v>
      </c>
      <c r="O18" s="8">
        <f t="shared" si="50"/>
        <v>3.4346846846846847E-3</v>
      </c>
      <c r="P18" s="9">
        <f t="shared" si="35"/>
        <v>7</v>
      </c>
      <c r="Q18" s="25"/>
      <c r="R18" s="52" t="s">
        <v>57</v>
      </c>
      <c r="S18" s="126">
        <v>1.40625E-2</v>
      </c>
      <c r="T18" s="8">
        <f t="shared" si="51"/>
        <v>2.6533018867924531E-3</v>
      </c>
      <c r="U18" s="9">
        <f t="shared" si="37"/>
        <v>4</v>
      </c>
      <c r="V18" s="25"/>
      <c r="W18" s="52" t="s">
        <v>70</v>
      </c>
      <c r="X18" s="53">
        <v>1.1678240740740741E-2</v>
      </c>
      <c r="Y18" s="8">
        <f t="shared" si="52"/>
        <v>2.5951646090534978E-3</v>
      </c>
      <c r="Z18" s="9">
        <f t="shared" si="39"/>
        <v>3</v>
      </c>
      <c r="AA18" s="25"/>
      <c r="AB18" s="52" t="s">
        <v>57</v>
      </c>
      <c r="AC18" s="53">
        <v>1.207175925925926E-2</v>
      </c>
      <c r="AD18" s="8">
        <f t="shared" si="53"/>
        <v>2.6826131687242797E-3</v>
      </c>
      <c r="AE18" s="9">
        <f t="shared" si="41"/>
        <v>3</v>
      </c>
      <c r="AF18" s="25"/>
      <c r="AG18" s="52" t="s">
        <v>75</v>
      </c>
      <c r="AH18" s="53">
        <v>1.1331018518518518E-2</v>
      </c>
      <c r="AI18" s="8">
        <f t="shared" si="54"/>
        <v>2.6914533298143749E-3</v>
      </c>
      <c r="AJ18" s="9">
        <f t="shared" si="43"/>
        <v>3</v>
      </c>
      <c r="AK18" s="25"/>
      <c r="AL18" s="52" t="s">
        <v>70</v>
      </c>
      <c r="AM18" s="53">
        <v>1.1481481481481483E-2</v>
      </c>
      <c r="AN18" s="8">
        <f t="shared" si="55"/>
        <v>2.5571228243834038E-3</v>
      </c>
      <c r="AO18" s="9">
        <f t="shared" si="45"/>
        <v>7</v>
      </c>
      <c r="AP18" s="25"/>
      <c r="AQ18" s="52" t="s">
        <v>56</v>
      </c>
      <c r="AR18" s="53">
        <v>1.1388888888888888E-2</v>
      </c>
      <c r="AS18" s="8">
        <f t="shared" si="56"/>
        <v>3.1117182756527015E-3</v>
      </c>
      <c r="AT18" s="9">
        <f t="shared" si="47"/>
        <v>7</v>
      </c>
      <c r="AU18" s="25"/>
      <c r="AV18" s="31"/>
      <c r="AW18" s="32"/>
      <c r="AX18" s="33"/>
      <c r="AY18" s="34"/>
      <c r="AZ18" s="25"/>
      <c r="BB18" s="39"/>
      <c r="BC18" s="40"/>
      <c r="BG18" s="39"/>
      <c r="BH18" s="40"/>
      <c r="BL18" s="39"/>
      <c r="BM18" s="40"/>
      <c r="BQ18" s="39"/>
      <c r="BR18" s="40"/>
      <c r="BV18" s="39"/>
      <c r="BW18" s="40"/>
      <c r="CA18" s="39"/>
      <c r="CB18" s="40"/>
      <c r="CF18" s="39"/>
      <c r="CG18" s="40"/>
    </row>
    <row r="19" spans="1:85" ht="20.100000000000001" customHeight="1" x14ac:dyDescent="0.2">
      <c r="A19" s="55" t="str">
        <f t="shared" si="29"/>
        <v>3 Captains and Duff</v>
      </c>
      <c r="E19" s="46">
        <f t="shared" si="48"/>
        <v>9.5868055555555554E-2</v>
      </c>
      <c r="F19" s="47">
        <f t="shared" si="31"/>
        <v>3</v>
      </c>
      <c r="H19" s="52" t="s">
        <v>53</v>
      </c>
      <c r="I19" s="53">
        <v>1.1099537037037038E-2</v>
      </c>
      <c r="J19" s="8">
        <f t="shared" si="49"/>
        <v>3.0326603926330705E-3</v>
      </c>
      <c r="K19" s="9">
        <f t="shared" si="33"/>
        <v>2</v>
      </c>
      <c r="L19" s="25"/>
      <c r="M19" s="52" t="s">
        <v>81</v>
      </c>
      <c r="N19" s="53">
        <v>1.2141203703703704E-2</v>
      </c>
      <c r="O19" s="8">
        <f t="shared" si="50"/>
        <v>3.2814064064064065E-3</v>
      </c>
      <c r="P19" s="9">
        <f t="shared" si="35"/>
        <v>6</v>
      </c>
      <c r="Q19" s="25"/>
      <c r="R19" s="52" t="s">
        <v>55</v>
      </c>
      <c r="S19" s="53">
        <v>1.4120370370370368E-2</v>
      </c>
      <c r="T19" s="8">
        <f t="shared" si="51"/>
        <v>2.6642208245981828E-3</v>
      </c>
      <c r="U19" s="9">
        <f t="shared" si="37"/>
        <v>5</v>
      </c>
      <c r="V19" s="25"/>
      <c r="W19" s="52" t="s">
        <v>59</v>
      </c>
      <c r="X19" s="53">
        <v>1.1956018518518517E-2</v>
      </c>
      <c r="Y19" s="8">
        <f t="shared" si="52"/>
        <v>2.656893004115226E-3</v>
      </c>
      <c r="Z19" s="9">
        <f t="shared" si="39"/>
        <v>5</v>
      </c>
      <c r="AA19" s="25"/>
      <c r="AB19" s="52" t="s">
        <v>55</v>
      </c>
      <c r="AC19" s="53">
        <v>1.2395833333333335E-2</v>
      </c>
      <c r="AD19" s="8">
        <f t="shared" si="53"/>
        <v>2.7546296296296299E-3</v>
      </c>
      <c r="AE19" s="9">
        <f t="shared" si="41"/>
        <v>5</v>
      </c>
      <c r="AF19" s="25"/>
      <c r="AG19" s="52" t="s">
        <v>53</v>
      </c>
      <c r="AH19" s="53">
        <v>1.1724537037037035E-2</v>
      </c>
      <c r="AI19" s="8">
        <f t="shared" si="54"/>
        <v>2.7849256620040464E-3</v>
      </c>
      <c r="AJ19" s="9">
        <f t="shared" si="43"/>
        <v>4</v>
      </c>
      <c r="AK19" s="25"/>
      <c r="AL19" s="52" t="s">
        <v>59</v>
      </c>
      <c r="AM19" s="53">
        <v>1.1423611111111112E-2</v>
      </c>
      <c r="AN19" s="8">
        <f t="shared" si="55"/>
        <v>2.5442341004701806E-3</v>
      </c>
      <c r="AO19" s="9">
        <f t="shared" si="45"/>
        <v>5</v>
      </c>
      <c r="AP19" s="25"/>
      <c r="AQ19" s="52" t="s">
        <v>81</v>
      </c>
      <c r="AR19" s="53">
        <v>1.1006944444444444E-2</v>
      </c>
      <c r="AS19" s="8">
        <f t="shared" si="56"/>
        <v>3.0073618700667878E-3</v>
      </c>
      <c r="AT19" s="9">
        <f t="shared" si="47"/>
        <v>4</v>
      </c>
      <c r="AU19" s="25"/>
      <c r="AV19" s="31"/>
      <c r="AW19" s="32"/>
      <c r="AX19" s="33"/>
      <c r="AY19" s="34"/>
      <c r="AZ19" s="25"/>
      <c r="BB19" s="39"/>
      <c r="BC19" s="40"/>
      <c r="BG19" s="39"/>
      <c r="BH19" s="40"/>
      <c r="BL19" s="39"/>
      <c r="BM19" s="40"/>
      <c r="BQ19" s="39"/>
      <c r="BR19" s="40"/>
      <c r="BV19" s="39"/>
      <c r="BW19" s="40"/>
      <c r="CA19" s="39"/>
      <c r="CB19" s="40"/>
      <c r="CF19" s="39"/>
      <c r="CG19" s="40"/>
    </row>
    <row r="20" spans="1:85" ht="20.100000000000001" customHeight="1" x14ac:dyDescent="0.2">
      <c r="A20" s="55" t="str">
        <f t="shared" si="29"/>
        <v>Shattered and Sun Burnt</v>
      </c>
      <c r="E20" s="46">
        <f t="shared" si="48"/>
        <v>9.9699074074074065E-2</v>
      </c>
      <c r="F20" s="47">
        <f t="shared" si="31"/>
        <v>8</v>
      </c>
      <c r="H20" s="52" t="s">
        <v>78</v>
      </c>
      <c r="I20" s="53">
        <v>1.255787037037037E-2</v>
      </c>
      <c r="J20" s="8">
        <f t="shared" si="49"/>
        <v>3.4311121230520135E-3</v>
      </c>
      <c r="K20" s="9">
        <f t="shared" si="33"/>
        <v>6</v>
      </c>
      <c r="L20" s="25"/>
      <c r="M20" s="52" t="s">
        <v>68</v>
      </c>
      <c r="N20" s="53">
        <v>1.113425925925926E-2</v>
      </c>
      <c r="O20" s="8">
        <f t="shared" si="50"/>
        <v>3.0092592592592593E-3</v>
      </c>
      <c r="P20" s="9">
        <f t="shared" si="35"/>
        <v>4</v>
      </c>
      <c r="Q20" s="25"/>
      <c r="R20" s="52" t="s">
        <v>54</v>
      </c>
      <c r="S20" s="53">
        <v>1.4120370370370368E-2</v>
      </c>
      <c r="T20" s="8">
        <f t="shared" si="51"/>
        <v>2.6642208245981828E-3</v>
      </c>
      <c r="U20" s="9">
        <f t="shared" si="37"/>
        <v>5</v>
      </c>
      <c r="V20" s="25"/>
      <c r="W20" s="52" t="s">
        <v>77</v>
      </c>
      <c r="X20" s="53">
        <v>1.2800925925925926E-2</v>
      </c>
      <c r="Y20" s="8">
        <f t="shared" si="52"/>
        <v>2.8446502057613166E-3</v>
      </c>
      <c r="Z20" s="9">
        <f t="shared" si="39"/>
        <v>7</v>
      </c>
      <c r="AA20" s="25"/>
      <c r="AB20" s="52" t="s">
        <v>68</v>
      </c>
      <c r="AC20" s="53">
        <v>1.375E-2</v>
      </c>
      <c r="AD20" s="8">
        <f t="shared" si="53"/>
        <v>3.0555555555555557E-3</v>
      </c>
      <c r="AE20" s="9">
        <f t="shared" si="41"/>
        <v>8</v>
      </c>
      <c r="AF20" s="25"/>
      <c r="AG20" s="52" t="s">
        <v>78</v>
      </c>
      <c r="AH20" s="53">
        <v>1.3321759259259261E-2</v>
      </c>
      <c r="AI20" s="8">
        <f t="shared" si="54"/>
        <v>3.1643133632444798E-3</v>
      </c>
      <c r="AJ20" s="9">
        <f t="shared" si="43"/>
        <v>7</v>
      </c>
      <c r="AK20" s="25"/>
      <c r="AL20" s="52" t="s">
        <v>54</v>
      </c>
      <c r="AM20" s="53">
        <v>1.0960648148148148E-2</v>
      </c>
      <c r="AN20" s="8">
        <f t="shared" si="55"/>
        <v>2.4411243091643983E-3</v>
      </c>
      <c r="AO20" s="9">
        <f t="shared" si="45"/>
        <v>3</v>
      </c>
      <c r="AP20" s="25"/>
      <c r="AQ20" s="52" t="s">
        <v>77</v>
      </c>
      <c r="AR20" s="53">
        <v>1.105324074074074E-2</v>
      </c>
      <c r="AS20" s="8">
        <f t="shared" si="56"/>
        <v>3.0200111313499287E-3</v>
      </c>
      <c r="AT20" s="9">
        <f t="shared" si="47"/>
        <v>5</v>
      </c>
      <c r="AU20" s="25"/>
      <c r="AV20" s="31"/>
      <c r="AW20" s="32"/>
      <c r="AX20" s="33"/>
      <c r="AY20" s="34"/>
      <c r="AZ20" s="25"/>
      <c r="BB20" s="39"/>
      <c r="BC20" s="40"/>
      <c r="BG20" s="39"/>
      <c r="BH20" s="40"/>
      <c r="BL20" s="39"/>
      <c r="BM20" s="40"/>
      <c r="BQ20" s="39"/>
      <c r="BR20" s="40"/>
      <c r="BV20" s="39"/>
      <c r="BW20" s="40"/>
      <c r="CA20" s="39"/>
      <c r="CB20" s="40"/>
      <c r="CF20" s="39"/>
      <c r="CG20" s="40"/>
    </row>
    <row r="21" spans="1:85" ht="20.100000000000001" customHeight="1" x14ac:dyDescent="0.2">
      <c r="A21" s="55" t="str">
        <f t="shared" si="29"/>
        <v>Chasing the View</v>
      </c>
      <c r="E21" s="46">
        <f t="shared" si="48"/>
        <v>9.6203703703703708E-2</v>
      </c>
      <c r="F21" s="47">
        <f t="shared" si="31"/>
        <v>4</v>
      </c>
      <c r="H21" s="52" t="s">
        <v>79</v>
      </c>
      <c r="I21" s="53">
        <v>1.2916666666666667E-2</v>
      </c>
      <c r="J21" s="8">
        <f t="shared" si="49"/>
        <v>3.5291438979963567E-3</v>
      </c>
      <c r="K21" s="9">
        <f t="shared" si="33"/>
        <v>7</v>
      </c>
      <c r="L21" s="25"/>
      <c r="M21" s="52" t="s">
        <v>69</v>
      </c>
      <c r="N21" s="53">
        <v>1.0729166666666666E-2</v>
      </c>
      <c r="O21" s="8">
        <f t="shared" si="50"/>
        <v>2.8997747747747746E-3</v>
      </c>
      <c r="P21" s="9">
        <f t="shared" si="35"/>
        <v>2</v>
      </c>
      <c r="Q21" s="25"/>
      <c r="R21" s="52" t="s">
        <v>66</v>
      </c>
      <c r="S21" s="53">
        <v>1.3993055555555555E-2</v>
      </c>
      <c r="T21" s="8">
        <f t="shared" si="51"/>
        <v>2.6401991614255767E-3</v>
      </c>
      <c r="U21" s="9">
        <f t="shared" si="37"/>
        <v>3</v>
      </c>
      <c r="V21" s="25"/>
      <c r="W21" s="52" t="s">
        <v>74</v>
      </c>
      <c r="X21" s="53">
        <v>1.1944444444444445E-2</v>
      </c>
      <c r="Y21" s="8">
        <f t="shared" si="52"/>
        <v>2.6543209876543211E-3</v>
      </c>
      <c r="Z21" s="9">
        <f t="shared" si="39"/>
        <v>4</v>
      </c>
      <c r="AA21" s="25"/>
      <c r="AB21" s="52" t="s">
        <v>66</v>
      </c>
      <c r="AC21" s="53">
        <v>1.2164351851851852E-2</v>
      </c>
      <c r="AD21" s="8">
        <f t="shared" si="53"/>
        <v>2.7031893004115224E-3</v>
      </c>
      <c r="AE21" s="9">
        <f t="shared" si="41"/>
        <v>4</v>
      </c>
      <c r="AF21" s="25"/>
      <c r="AG21" s="52" t="s">
        <v>79</v>
      </c>
      <c r="AH21" s="53">
        <v>1.3460648148148147E-2</v>
      </c>
      <c r="AI21" s="8">
        <f t="shared" si="54"/>
        <v>3.1973035981349516E-3</v>
      </c>
      <c r="AJ21" s="9">
        <f t="shared" si="43"/>
        <v>8</v>
      </c>
      <c r="AK21" s="25"/>
      <c r="AL21" s="52" t="s">
        <v>74</v>
      </c>
      <c r="AM21" s="53">
        <v>1.1354166666666667E-2</v>
      </c>
      <c r="AN21" s="8">
        <f t="shared" si="55"/>
        <v>2.5287676317743133E-3</v>
      </c>
      <c r="AO21" s="9">
        <f t="shared" si="45"/>
        <v>4</v>
      </c>
      <c r="AP21" s="25"/>
      <c r="AQ21" s="52" t="s">
        <v>69</v>
      </c>
      <c r="AR21" s="53">
        <v>9.6412037037037039E-3</v>
      </c>
      <c r="AS21" s="8">
        <f t="shared" si="56"/>
        <v>2.6342086622141267E-3</v>
      </c>
      <c r="AT21" s="9">
        <f t="shared" si="47"/>
        <v>1</v>
      </c>
      <c r="AU21" s="25"/>
      <c r="AV21" s="31"/>
      <c r="AW21" s="32"/>
      <c r="AX21" s="33"/>
      <c r="AY21" s="34"/>
      <c r="AZ21" s="25"/>
      <c r="BB21" s="39"/>
      <c r="BC21" s="40"/>
      <c r="BG21" s="39"/>
      <c r="BH21" s="40"/>
      <c r="BL21" s="39"/>
      <c r="BM21" s="40"/>
      <c r="BQ21" s="39"/>
      <c r="BR21" s="40"/>
      <c r="BV21" s="39"/>
      <c r="BW21" s="40"/>
      <c r="CA21" s="39"/>
      <c r="CB21" s="40"/>
      <c r="CF21" s="39"/>
      <c r="CG21" s="40"/>
    </row>
    <row r="22" spans="1:85" ht="20.100000000000001" customHeight="1" x14ac:dyDescent="0.2">
      <c r="A22" s="55" t="str">
        <f t="shared" si="29"/>
        <v>Greener Pastures</v>
      </c>
      <c r="E22" s="46">
        <f t="shared" si="48"/>
        <v>9.6435185185185179E-2</v>
      </c>
      <c r="F22" s="47">
        <f t="shared" si="31"/>
        <v>5</v>
      </c>
      <c r="H22" s="52" t="s">
        <v>61</v>
      </c>
      <c r="I22" s="53">
        <v>1.1516203703703702E-2</v>
      </c>
      <c r="J22" s="8">
        <f t="shared" si="49"/>
        <v>3.1465037441813391E-3</v>
      </c>
      <c r="K22" s="9">
        <f t="shared" si="33"/>
        <v>4</v>
      </c>
      <c r="L22" s="25"/>
      <c r="M22" s="52" t="s">
        <v>60</v>
      </c>
      <c r="N22" s="53">
        <v>1.1481481481481483E-2</v>
      </c>
      <c r="O22" s="8">
        <f t="shared" si="50"/>
        <v>3.1031031031031036E-3</v>
      </c>
      <c r="P22" s="9">
        <f t="shared" si="35"/>
        <v>5</v>
      </c>
      <c r="Q22" s="25"/>
      <c r="R22" s="52" t="s">
        <v>67</v>
      </c>
      <c r="S22" s="53">
        <v>1.4768518518518519E-2</v>
      </c>
      <c r="T22" s="8">
        <f t="shared" si="51"/>
        <v>2.7865129280223622E-3</v>
      </c>
      <c r="U22" s="9">
        <f t="shared" si="37"/>
        <v>7</v>
      </c>
      <c r="V22" s="25"/>
      <c r="W22" s="52" t="s">
        <v>51</v>
      </c>
      <c r="X22" s="53">
        <v>1.1539351851851851E-2</v>
      </c>
      <c r="Y22" s="8">
        <f t="shared" si="52"/>
        <v>2.5643004115226335E-3</v>
      </c>
      <c r="Z22" s="9">
        <f t="shared" si="39"/>
        <v>2</v>
      </c>
      <c r="AA22" s="25"/>
      <c r="AB22" s="52" t="s">
        <v>67</v>
      </c>
      <c r="AC22" s="53">
        <v>1.3113425925925926E-2</v>
      </c>
      <c r="AD22" s="8">
        <f t="shared" si="53"/>
        <v>2.9140946502057615E-3</v>
      </c>
      <c r="AE22" s="9">
        <f t="shared" si="41"/>
        <v>7</v>
      </c>
      <c r="AF22" s="25"/>
      <c r="AG22" s="52" t="s">
        <v>61</v>
      </c>
      <c r="AH22" s="53">
        <v>1.1921296296296298E-2</v>
      </c>
      <c r="AI22" s="8">
        <f t="shared" si="42"/>
        <v>2.8316618280988829E-3</v>
      </c>
      <c r="AJ22" s="9">
        <f t="shared" si="43"/>
        <v>5</v>
      </c>
      <c r="AK22" s="25"/>
      <c r="AL22" s="52" t="s">
        <v>51</v>
      </c>
      <c r="AM22" s="53">
        <v>1.1469907407407408E-2</v>
      </c>
      <c r="AN22" s="8">
        <f t="shared" si="55"/>
        <v>2.5545450796007588E-3</v>
      </c>
      <c r="AO22" s="9">
        <f t="shared" si="45"/>
        <v>6</v>
      </c>
      <c r="AP22" s="25"/>
      <c r="AQ22" s="52" t="s">
        <v>60</v>
      </c>
      <c r="AR22" s="53">
        <v>1.0625000000000001E-2</v>
      </c>
      <c r="AS22" s="8">
        <f t="shared" si="56"/>
        <v>2.9030054644808745E-3</v>
      </c>
      <c r="AT22" s="9">
        <f t="shared" si="47"/>
        <v>3</v>
      </c>
      <c r="AU22" s="25"/>
      <c r="AV22" s="31"/>
      <c r="AW22" s="32"/>
      <c r="AX22" s="33"/>
      <c r="AY22" s="34"/>
      <c r="AZ22" s="25"/>
      <c r="BB22" s="39"/>
      <c r="BC22" s="40"/>
      <c r="BG22" s="39"/>
      <c r="BH22" s="40"/>
      <c r="BL22" s="39"/>
      <c r="BM22" s="40"/>
      <c r="BQ22" s="39"/>
      <c r="BR22" s="40"/>
      <c r="BV22" s="39"/>
      <c r="BW22" s="40"/>
      <c r="CA22" s="39"/>
      <c r="CB22" s="40"/>
      <c r="CF22" s="39"/>
      <c r="CG22" s="40"/>
    </row>
    <row r="26" spans="1:85" ht="15" customHeight="1" x14ac:dyDescent="0.2">
      <c r="A26" s="35" t="s">
        <v>0</v>
      </c>
    </row>
    <row r="27" spans="1:85" x14ac:dyDescent="0.2">
      <c r="A27" s="35">
        <v>1</v>
      </c>
      <c r="B27" s="35" t="str">
        <f>'Team Selection'!D3</f>
        <v>Dion Finocchiaro</v>
      </c>
      <c r="C27" s="35" t="str">
        <f>'Team Selection'!F3</f>
        <v>Matt Adams</v>
      </c>
      <c r="D27" s="35" t="str">
        <f>'Team Selection'!H3</f>
        <v>Beata Janetzki</v>
      </c>
      <c r="E27" s="35" t="str">
        <f>'Team Selection'!J3</f>
        <v>Anna Locarnini</v>
      </c>
      <c r="F27" s="40"/>
    </row>
    <row r="28" spans="1:85" x14ac:dyDescent="0.2">
      <c r="A28" s="35">
        <v>2</v>
      </c>
      <c r="B28" s="35" t="str">
        <f>'Team Selection'!D4</f>
        <v>Tait Ovens</v>
      </c>
      <c r="C28" s="35" t="str">
        <f>'Team Selection'!F4</f>
        <v>Scott Stacey</v>
      </c>
      <c r="D28" s="35" t="str">
        <f>'Team Selection'!H4</f>
        <v>Shane Fielding</v>
      </c>
      <c r="E28" s="35" t="str">
        <f>'Team Selection'!J4</f>
        <v>Hugh Hunter</v>
      </c>
      <c r="F28" s="40"/>
    </row>
    <row r="29" spans="1:85" x14ac:dyDescent="0.2">
      <c r="A29" s="35">
        <v>3</v>
      </c>
      <c r="B29" s="35" t="str">
        <f>'Team Selection'!D5</f>
        <v>Darren Bowden</v>
      </c>
      <c r="C29" s="35" t="str">
        <f>'Team Selection'!F5</f>
        <v>Glenn Carroll</v>
      </c>
      <c r="D29" s="35" t="str">
        <f>'Team Selection'!H5</f>
        <v>Julie-Ann Undrill</v>
      </c>
      <c r="E29" s="35" t="str">
        <f>'Team Selection'!J5</f>
        <v>Mel Jansen</v>
      </c>
      <c r="F29" s="40"/>
    </row>
    <row r="30" spans="1:85" x14ac:dyDescent="0.2">
      <c r="A30" s="35">
        <v>4</v>
      </c>
      <c r="B30" s="35" t="str">
        <f>'Team Selection'!D6</f>
        <v>Simon Tu</v>
      </c>
      <c r="C30" s="35" t="str">
        <f>'Team Selection'!F6</f>
        <v>Chris Wright</v>
      </c>
      <c r="D30" s="35" t="str">
        <f>'Team Selection'!H6</f>
        <v>Thai Phan</v>
      </c>
      <c r="E30" s="35" t="str">
        <f>'Team Selection'!J6</f>
        <v>Nick Tobin</v>
      </c>
      <c r="F30" s="40"/>
    </row>
    <row r="31" spans="1:85" x14ac:dyDescent="0.2">
      <c r="A31" s="35">
        <v>6</v>
      </c>
      <c r="B31" s="35" t="str">
        <f>'Team Selection'!D7</f>
        <v>David Hartley</v>
      </c>
      <c r="C31" s="35" t="str">
        <f>'Team Selection'!F7</f>
        <v>Garth Calder</v>
      </c>
      <c r="D31" s="35" t="str">
        <f>'Team Selection'!H7</f>
        <v>Anthony Mithen</v>
      </c>
      <c r="E31" s="35" t="str">
        <f>'Team Selection'!J7</f>
        <v>Luke Pengelly</v>
      </c>
      <c r="F31" s="40"/>
      <c r="I31" s="40"/>
    </row>
    <row r="32" spans="1:85" x14ac:dyDescent="0.2">
      <c r="A32" s="35">
        <v>7</v>
      </c>
      <c r="B32" s="35" t="str">
        <f>'Team Selection'!D8</f>
        <v>David Alcock</v>
      </c>
      <c r="C32" s="35" t="str">
        <f>'Team Selection'!F8</f>
        <v>James Howe</v>
      </c>
      <c r="D32" s="35" t="str">
        <f>'Team Selection'!H8</f>
        <v>Brenton Norman</v>
      </c>
      <c r="E32" s="35" t="str">
        <f>'Team Selection'!J8</f>
        <v>Martin Fry</v>
      </c>
      <c r="F32" s="40"/>
      <c r="I32" s="32"/>
      <c r="N32" s="32"/>
      <c r="S32" s="32"/>
      <c r="X32" s="32"/>
      <c r="AC32" s="32"/>
      <c r="AH32" s="32"/>
      <c r="AM32" s="32"/>
      <c r="AR32" s="32"/>
    </row>
    <row r="33" spans="1:44" x14ac:dyDescent="0.2">
      <c r="A33" s="35">
        <v>8</v>
      </c>
      <c r="B33" s="35" t="str">
        <f>'Team Selection'!D9</f>
        <v>Daniel Hall</v>
      </c>
      <c r="C33" s="35" t="str">
        <f>'Team Selection'!F9</f>
        <v>Scott Smith</v>
      </c>
      <c r="D33" s="35" t="str">
        <f>'Team Selection'!H9</f>
        <v>Andrew Pintar</v>
      </c>
      <c r="E33" s="35" t="str">
        <f>'Team Selection'!J9</f>
        <v>Bao Hoang</v>
      </c>
      <c r="F33" s="40"/>
      <c r="I33" s="32"/>
      <c r="N33" s="32"/>
      <c r="S33" s="32"/>
      <c r="X33" s="32"/>
      <c r="AC33" s="32"/>
      <c r="AH33" s="32"/>
      <c r="AM33" s="32"/>
      <c r="AR33" s="32"/>
    </row>
    <row r="34" spans="1:44" x14ac:dyDescent="0.2">
      <c r="A34" s="35">
        <v>9</v>
      </c>
      <c r="B34" s="35" t="str">
        <f>'Team Selection'!D10</f>
        <v>Tony Langelaan</v>
      </c>
      <c r="C34" s="35" t="str">
        <f>'Team Selection'!F10</f>
        <v>Richard Does</v>
      </c>
      <c r="D34" s="35" t="str">
        <f>'Team Selection'!H10</f>
        <v>Chris Wade</v>
      </c>
      <c r="E34" s="35" t="str">
        <f>'Team Selection'!J10</f>
        <v>Dale Nardella</v>
      </c>
      <c r="F34" s="40"/>
      <c r="I34" s="32"/>
      <c r="S34" s="32"/>
      <c r="X34" s="32"/>
      <c r="AC34" s="32"/>
      <c r="AH34" s="32"/>
      <c r="AM34" s="32"/>
      <c r="AR34" s="32"/>
    </row>
    <row r="35" spans="1:44" x14ac:dyDescent="0.2">
      <c r="I35" s="32"/>
      <c r="S35" s="32"/>
      <c r="X35" s="32"/>
      <c r="AC35" s="32"/>
      <c r="AH35" s="32"/>
      <c r="AM35" s="32"/>
      <c r="AR35" s="32"/>
    </row>
    <row r="36" spans="1:44" x14ac:dyDescent="0.2">
      <c r="I36" s="32"/>
      <c r="S36" s="32"/>
      <c r="X36" s="32"/>
      <c r="AC36" s="32"/>
      <c r="AH36" s="32"/>
      <c r="AM36" s="32"/>
      <c r="AR36" s="32"/>
    </row>
    <row r="44" spans="1:44" x14ac:dyDescent="0.2">
      <c r="L44" s="57"/>
    </row>
    <row r="45" spans="1:44" x14ac:dyDescent="0.2">
      <c r="L45" s="57"/>
    </row>
    <row r="46" spans="1:44" x14ac:dyDescent="0.2">
      <c r="L46" s="25"/>
    </row>
    <row r="47" spans="1:44" x14ac:dyDescent="0.2">
      <c r="L47" s="25"/>
    </row>
    <row r="48" spans="1:44" x14ac:dyDescent="0.2">
      <c r="L48" s="25"/>
    </row>
    <row r="49" spans="8:86" x14ac:dyDescent="0.2">
      <c r="L49" s="25"/>
    </row>
    <row r="50" spans="8:86" x14ac:dyDescent="0.2">
      <c r="L50" s="25"/>
      <c r="N50" s="39"/>
      <c r="O50" s="40"/>
    </row>
    <row r="51" spans="8:86" x14ac:dyDescent="0.2">
      <c r="L51" s="25"/>
    </row>
    <row r="52" spans="8:86" x14ac:dyDescent="0.2">
      <c r="L52" s="25"/>
    </row>
    <row r="53" spans="8:86" x14ac:dyDescent="0.2">
      <c r="I53" s="39"/>
      <c r="J53" s="40"/>
    </row>
    <row r="54" spans="8:86" x14ac:dyDescent="0.2">
      <c r="H54" s="43" t="s">
        <v>50</v>
      </c>
      <c r="J54" s="57"/>
      <c r="N54" s="98"/>
      <c r="O54" s="96"/>
      <c r="P54" s="97"/>
      <c r="CF54" s="38"/>
      <c r="CH54" s="38"/>
    </row>
    <row r="55" spans="8:86" x14ac:dyDescent="0.2">
      <c r="H55" s="53">
        <f>I4</f>
        <v>8.9583333333333338E-3</v>
      </c>
      <c r="L55" s="25"/>
      <c r="N55" s="38"/>
      <c r="O55" s="40"/>
      <c r="P55" s="38"/>
      <c r="Q55" s="96"/>
      <c r="R55" s="41"/>
      <c r="S55" s="38"/>
      <c r="T55" s="40"/>
      <c r="U55" s="38"/>
      <c r="W55" s="41"/>
      <c r="X55" s="38"/>
      <c r="Y55" s="40"/>
      <c r="Z55" s="38"/>
      <c r="AB55" s="41"/>
      <c r="AC55" s="38"/>
      <c r="AD55" s="40"/>
      <c r="AE55" s="38"/>
      <c r="AH55" s="38"/>
      <c r="AI55" s="40"/>
      <c r="AJ55" s="38"/>
      <c r="AL55" s="41"/>
      <c r="AM55" s="38"/>
      <c r="AN55" s="40"/>
      <c r="AO55" s="38"/>
      <c r="AQ55" s="41"/>
      <c r="AR55" s="38"/>
      <c r="AS55" s="40"/>
      <c r="AT55" s="38"/>
      <c r="AV55" s="41"/>
      <c r="AW55" s="38"/>
      <c r="AX55" s="40"/>
      <c r="AY55" s="38"/>
      <c r="BA55" s="41"/>
      <c r="BB55" s="38"/>
      <c r="BC55" s="40"/>
      <c r="BD55" s="38"/>
      <c r="BF55" s="41"/>
      <c r="BG55" s="38"/>
      <c r="BH55" s="40"/>
      <c r="BI55" s="38"/>
      <c r="BK55" s="41"/>
      <c r="BL55" s="38"/>
      <c r="BM55" s="40"/>
      <c r="BN55" s="38"/>
      <c r="BP55" s="41"/>
      <c r="BQ55" s="38"/>
      <c r="BR55" s="40"/>
      <c r="BS55" s="38"/>
      <c r="BU55" s="41"/>
      <c r="BV55" s="38"/>
      <c r="BW55" s="40"/>
      <c r="BX55" s="38"/>
      <c r="BZ55" s="41"/>
      <c r="CA55" s="38"/>
      <c r="CB55" s="40"/>
      <c r="CC55" s="38"/>
      <c r="CE55" s="41"/>
      <c r="CF55" s="38"/>
      <c r="CG55" s="40"/>
      <c r="CH55" s="38"/>
    </row>
    <row r="56" spans="8:86" x14ac:dyDescent="0.2">
      <c r="H56" s="53">
        <f>I5</f>
        <v>9.571759259259259E-3</v>
      </c>
      <c r="L56" s="25"/>
      <c r="N56" s="38"/>
      <c r="O56" s="40"/>
      <c r="P56" s="38"/>
      <c r="Q56" s="96"/>
      <c r="R56" s="41"/>
      <c r="S56" s="38"/>
      <c r="T56" s="40"/>
      <c r="U56" s="38"/>
      <c r="W56" s="41"/>
      <c r="X56" s="38"/>
      <c r="Y56" s="40"/>
      <c r="Z56" s="38"/>
      <c r="AB56" s="41"/>
      <c r="AC56" s="38"/>
      <c r="AD56" s="40"/>
      <c r="AE56" s="38"/>
      <c r="AH56" s="38"/>
      <c r="AI56" s="40"/>
      <c r="AJ56" s="38"/>
      <c r="AL56" s="41"/>
      <c r="AM56" s="38"/>
      <c r="AN56" s="40"/>
      <c r="AO56" s="38"/>
      <c r="AQ56" s="41"/>
      <c r="AR56" s="38"/>
      <c r="AS56" s="40"/>
      <c r="AT56" s="38"/>
      <c r="AV56" s="41"/>
      <c r="AW56" s="38"/>
      <c r="AX56" s="40"/>
      <c r="AY56" s="38"/>
      <c r="BA56" s="41"/>
      <c r="BB56" s="38"/>
      <c r="BC56" s="40"/>
      <c r="BD56" s="38"/>
      <c r="BF56" s="41"/>
      <c r="BG56" s="38"/>
      <c r="BH56" s="40"/>
      <c r="BI56" s="38"/>
      <c r="BK56" s="41"/>
      <c r="BL56" s="38"/>
      <c r="BM56" s="40"/>
      <c r="BN56" s="38"/>
      <c r="BP56" s="41"/>
      <c r="BQ56" s="38"/>
      <c r="BR56" s="40"/>
      <c r="BS56" s="38"/>
      <c r="BU56" s="41"/>
      <c r="BV56" s="38"/>
      <c r="BW56" s="40"/>
      <c r="BX56" s="38"/>
      <c r="BZ56" s="41"/>
      <c r="CA56" s="38"/>
      <c r="CB56" s="40"/>
      <c r="CC56" s="38"/>
      <c r="CE56" s="41"/>
      <c r="CF56" s="38"/>
      <c r="CG56" s="40"/>
      <c r="CH56" s="38"/>
    </row>
    <row r="57" spans="8:86" x14ac:dyDescent="0.2">
      <c r="H57" s="53">
        <f>I6</f>
        <v>1.0162037037037037E-2</v>
      </c>
      <c r="L57" s="25"/>
      <c r="N57" s="38"/>
      <c r="O57" s="40"/>
      <c r="P57" s="38"/>
      <c r="Q57" s="96"/>
      <c r="R57" s="41"/>
      <c r="S57" s="38"/>
      <c r="T57" s="40"/>
      <c r="U57" s="38"/>
      <c r="W57" s="41"/>
      <c r="X57" s="38"/>
      <c r="Y57" s="40"/>
      <c r="Z57" s="38"/>
      <c r="AB57" s="41"/>
      <c r="AC57" s="38"/>
      <c r="AD57" s="40"/>
      <c r="AE57" s="38"/>
      <c r="AH57" s="38"/>
      <c r="AI57" s="40"/>
      <c r="AJ57" s="38"/>
      <c r="AL57" s="41"/>
      <c r="AM57" s="38"/>
      <c r="AN57" s="40"/>
      <c r="AO57" s="38"/>
      <c r="AQ57" s="41"/>
      <c r="AR57" s="38"/>
      <c r="AS57" s="40"/>
      <c r="AT57" s="38"/>
      <c r="AV57" s="41"/>
      <c r="AW57" s="38"/>
      <c r="AX57" s="40"/>
      <c r="AY57" s="38"/>
      <c r="BA57" s="41"/>
      <c r="BB57" s="38"/>
      <c r="BC57" s="40"/>
      <c r="BD57" s="38"/>
      <c r="BF57" s="41"/>
      <c r="BG57" s="38"/>
      <c r="BH57" s="40"/>
      <c r="BI57" s="38"/>
      <c r="BK57" s="41"/>
      <c r="BL57" s="38"/>
      <c r="BM57" s="40"/>
      <c r="BN57" s="38"/>
      <c r="BP57" s="41"/>
      <c r="BQ57" s="38"/>
      <c r="BR57" s="40"/>
      <c r="BS57" s="38"/>
      <c r="BU57" s="41"/>
      <c r="BV57" s="38"/>
      <c r="BW57" s="40"/>
      <c r="BX57" s="38"/>
      <c r="BZ57" s="41"/>
      <c r="CA57" s="38"/>
      <c r="CB57" s="40"/>
      <c r="CC57" s="38"/>
      <c r="CE57" s="41"/>
      <c r="CF57" s="38"/>
      <c r="CG57" s="40"/>
      <c r="CH57" s="38"/>
    </row>
    <row r="58" spans="8:86" x14ac:dyDescent="0.2">
      <c r="H58" s="53">
        <f>I7</f>
        <v>9.3171296296296283E-3</v>
      </c>
      <c r="L58" s="25"/>
      <c r="N58" s="38"/>
      <c r="O58" s="40"/>
      <c r="P58" s="38"/>
      <c r="Q58" s="96"/>
      <c r="R58" s="41"/>
      <c r="S58" s="38"/>
      <c r="T58" s="40"/>
      <c r="U58" s="38"/>
      <c r="W58" s="41"/>
      <c r="X58" s="38"/>
      <c r="Y58" s="40"/>
      <c r="Z58" s="38"/>
      <c r="AB58" s="41"/>
      <c r="AC58" s="38"/>
      <c r="AD58" s="40"/>
      <c r="AE58" s="38"/>
      <c r="AH58" s="38"/>
      <c r="AI58" s="40"/>
      <c r="AJ58" s="38"/>
      <c r="AL58" s="41"/>
      <c r="AM58" s="38"/>
      <c r="AN58" s="40"/>
      <c r="AO58" s="38"/>
      <c r="AQ58" s="41"/>
      <c r="AR58" s="38"/>
      <c r="AS58" s="40"/>
      <c r="AT58" s="38"/>
      <c r="AV58" s="41"/>
      <c r="AW58" s="38"/>
      <c r="AX58" s="40"/>
      <c r="AY58" s="38"/>
      <c r="BA58" s="41"/>
      <c r="BB58" s="38"/>
      <c r="BC58" s="40"/>
      <c r="BD58" s="38"/>
      <c r="BF58" s="41"/>
      <c r="BG58" s="38"/>
      <c r="BH58" s="40"/>
      <c r="BI58" s="38"/>
      <c r="BK58" s="41"/>
      <c r="BL58" s="38"/>
      <c r="BM58" s="40"/>
      <c r="BN58" s="38"/>
      <c r="BP58" s="41"/>
      <c r="BQ58" s="38"/>
      <c r="BR58" s="40"/>
      <c r="BS58" s="38"/>
      <c r="BU58" s="41"/>
      <c r="BV58" s="38"/>
      <c r="BW58" s="40"/>
      <c r="BX58" s="38"/>
      <c r="BZ58" s="41"/>
      <c r="CA58" s="38"/>
      <c r="CB58" s="40"/>
      <c r="CC58" s="38"/>
      <c r="CE58" s="41"/>
      <c r="CF58" s="38"/>
      <c r="CG58" s="40"/>
      <c r="CH58" s="38"/>
    </row>
    <row r="59" spans="8:86" x14ac:dyDescent="0.2">
      <c r="H59" s="53">
        <f t="shared" ref="H59:H62" si="57">I8</f>
        <v>9.4560185185185181E-3</v>
      </c>
      <c r="L59" s="25"/>
      <c r="N59" s="38"/>
      <c r="O59" s="40"/>
      <c r="P59" s="38"/>
      <c r="Q59" s="96"/>
      <c r="R59" s="41"/>
      <c r="S59" s="38"/>
      <c r="T59" s="40"/>
      <c r="U59" s="38"/>
      <c r="W59" s="41"/>
      <c r="X59" s="38"/>
      <c r="Y59" s="40"/>
      <c r="Z59" s="38"/>
      <c r="AB59" s="41"/>
      <c r="AC59" s="38"/>
      <c r="AD59" s="40"/>
      <c r="AE59" s="38"/>
      <c r="AH59" s="38"/>
      <c r="AI59" s="40"/>
      <c r="AJ59" s="38"/>
      <c r="AL59" s="41"/>
      <c r="AM59" s="38"/>
      <c r="AN59" s="40"/>
      <c r="AO59" s="38"/>
      <c r="AQ59" s="41"/>
      <c r="AR59" s="38"/>
      <c r="AS59" s="40"/>
      <c r="AT59" s="38"/>
      <c r="AV59" s="41"/>
      <c r="AW59" s="38"/>
      <c r="AX59" s="40"/>
      <c r="AY59" s="38"/>
      <c r="BA59" s="41"/>
      <c r="BB59" s="38"/>
      <c r="BC59" s="40"/>
      <c r="BD59" s="38"/>
      <c r="BF59" s="41"/>
      <c r="BG59" s="38"/>
      <c r="BH59" s="40"/>
      <c r="BI59" s="38"/>
      <c r="BK59" s="41"/>
      <c r="BL59" s="38"/>
      <c r="BM59" s="40"/>
      <c r="BN59" s="38"/>
      <c r="BP59" s="41"/>
      <c r="BQ59" s="38"/>
      <c r="BR59" s="40"/>
      <c r="BS59" s="38"/>
      <c r="BU59" s="41"/>
      <c r="BV59" s="38"/>
      <c r="BW59" s="40"/>
      <c r="BX59" s="38"/>
      <c r="BZ59" s="41"/>
      <c r="CA59" s="38"/>
      <c r="CB59" s="40"/>
      <c r="CC59" s="38"/>
      <c r="CE59" s="41"/>
      <c r="CF59" s="38"/>
      <c r="CG59" s="40"/>
      <c r="CH59" s="38"/>
    </row>
    <row r="60" spans="8:86" x14ac:dyDescent="0.2">
      <c r="H60" s="53">
        <f t="shared" si="57"/>
        <v>9.1203703703703707E-3</v>
      </c>
      <c r="L60" s="25"/>
      <c r="N60" s="38"/>
      <c r="O60" s="40"/>
      <c r="P60" s="38"/>
      <c r="Q60" s="96"/>
      <c r="R60" s="41"/>
      <c r="S60" s="38"/>
      <c r="T60" s="40"/>
      <c r="U60" s="38"/>
      <c r="W60" s="41"/>
      <c r="X60" s="38"/>
      <c r="Y60" s="40"/>
      <c r="Z60" s="38"/>
      <c r="AB60" s="41"/>
      <c r="AC60" s="38"/>
      <c r="AD60" s="40"/>
      <c r="AE60" s="38"/>
      <c r="AH60" s="38"/>
      <c r="AI60" s="40"/>
      <c r="AJ60" s="38"/>
      <c r="AL60" s="41"/>
      <c r="AM60" s="38"/>
      <c r="AN60" s="40"/>
      <c r="AO60" s="38"/>
      <c r="AQ60" s="41"/>
      <c r="AR60" s="38"/>
      <c r="AS60" s="40"/>
      <c r="AT60" s="38"/>
      <c r="AV60" s="41"/>
      <c r="AW60" s="38"/>
      <c r="AX60" s="40"/>
      <c r="AY60" s="38"/>
      <c r="BA60" s="41"/>
      <c r="BB60" s="38"/>
      <c r="BC60" s="40"/>
      <c r="BD60" s="38"/>
      <c r="BF60" s="41"/>
      <c r="BG60" s="38"/>
      <c r="BH60" s="40"/>
      <c r="BI60" s="38"/>
      <c r="BK60" s="41"/>
      <c r="BL60" s="38"/>
      <c r="BM60" s="40"/>
      <c r="BN60" s="38"/>
      <c r="BP60" s="41"/>
      <c r="BQ60" s="38"/>
      <c r="BR60" s="40"/>
      <c r="BS60" s="38"/>
      <c r="BU60" s="41"/>
      <c r="BV60" s="38"/>
      <c r="BW60" s="40"/>
      <c r="BX60" s="38"/>
      <c r="BZ60" s="41"/>
      <c r="CA60" s="38"/>
      <c r="CB60" s="40"/>
      <c r="CC60" s="38"/>
      <c r="CE60" s="41"/>
      <c r="CF60" s="38"/>
      <c r="CG60" s="40"/>
      <c r="CH60" s="38"/>
    </row>
    <row r="61" spans="8:86" x14ac:dyDescent="0.2">
      <c r="H61" s="53">
        <f t="shared" si="57"/>
        <v>9.0509259259259258E-3</v>
      </c>
      <c r="L61" s="25"/>
      <c r="N61" s="38"/>
      <c r="O61" s="40"/>
      <c r="P61" s="38"/>
      <c r="Q61" s="96"/>
      <c r="R61" s="41"/>
      <c r="S61" s="38"/>
      <c r="T61" s="40"/>
      <c r="U61" s="38"/>
      <c r="W61" s="41"/>
      <c r="X61" s="38"/>
      <c r="Y61" s="40"/>
      <c r="Z61" s="38"/>
      <c r="AB61" s="41"/>
      <c r="AC61" s="38"/>
      <c r="AD61" s="40"/>
      <c r="AE61" s="38"/>
      <c r="AH61" s="38"/>
      <c r="AI61" s="40"/>
      <c r="AJ61" s="38"/>
      <c r="AL61" s="41"/>
      <c r="AM61" s="38"/>
      <c r="AN61" s="40"/>
      <c r="AO61" s="38"/>
      <c r="AQ61" s="41"/>
      <c r="AR61" s="38"/>
      <c r="AS61" s="40"/>
      <c r="AT61" s="38"/>
      <c r="AV61" s="41"/>
      <c r="AW61" s="38"/>
      <c r="AX61" s="40"/>
      <c r="AY61" s="38"/>
      <c r="BA61" s="41"/>
      <c r="BB61" s="38"/>
      <c r="BC61" s="40"/>
      <c r="BD61" s="38"/>
      <c r="BF61" s="41"/>
      <c r="BG61" s="38"/>
      <c r="BH61" s="40"/>
      <c r="BI61" s="38"/>
      <c r="BK61" s="41"/>
      <c r="BL61" s="38"/>
      <c r="BM61" s="40"/>
      <c r="BN61" s="38"/>
      <c r="BP61" s="41"/>
      <c r="BQ61" s="38"/>
      <c r="BR61" s="40"/>
      <c r="BS61" s="38"/>
      <c r="BU61" s="41"/>
      <c r="BV61" s="38"/>
      <c r="BW61" s="40"/>
      <c r="BX61" s="38"/>
      <c r="BZ61" s="41"/>
      <c r="CA61" s="38"/>
      <c r="CB61" s="40"/>
      <c r="CC61" s="38"/>
      <c r="CE61" s="41"/>
      <c r="CF61" s="38"/>
      <c r="CG61" s="40"/>
      <c r="CH61" s="38"/>
    </row>
    <row r="62" spans="8:86" x14ac:dyDescent="0.2">
      <c r="H62" s="53">
        <f t="shared" si="57"/>
        <v>9.0162037037037034E-3</v>
      </c>
      <c r="L62" s="25"/>
      <c r="N62" s="38"/>
      <c r="O62" s="40"/>
      <c r="P62" s="38"/>
      <c r="Q62" s="96"/>
      <c r="R62" s="41"/>
      <c r="S62" s="38"/>
      <c r="T62" s="40"/>
      <c r="U62" s="38"/>
      <c r="W62" s="41"/>
      <c r="X62" s="38"/>
      <c r="Y62" s="40"/>
      <c r="Z62" s="38"/>
      <c r="AB62" s="41"/>
      <c r="AC62" s="38"/>
      <c r="AD62" s="40"/>
      <c r="AE62" s="38"/>
      <c r="AH62" s="38"/>
      <c r="AI62" s="40"/>
      <c r="AJ62" s="38"/>
      <c r="AL62" s="41"/>
      <c r="AM62" s="38"/>
      <c r="AN62" s="40"/>
      <c r="AO62" s="38"/>
      <c r="AQ62" s="41"/>
      <c r="AR62" s="38"/>
      <c r="AS62" s="40"/>
      <c r="AT62" s="38"/>
      <c r="AV62" s="41"/>
      <c r="AW62" s="38"/>
      <c r="AX62" s="40"/>
      <c r="AY62" s="38"/>
      <c r="BA62" s="41"/>
      <c r="BB62" s="38"/>
      <c r="BC62" s="40"/>
      <c r="BD62" s="38"/>
      <c r="BF62" s="41"/>
      <c r="BG62" s="38"/>
      <c r="BH62" s="40"/>
      <c r="BI62" s="38"/>
      <c r="BK62" s="41"/>
      <c r="BL62" s="38"/>
      <c r="BM62" s="40"/>
      <c r="BN62" s="38"/>
      <c r="BP62" s="41"/>
      <c r="BQ62" s="38"/>
      <c r="BR62" s="40"/>
      <c r="BS62" s="38"/>
      <c r="BU62" s="41"/>
      <c r="BV62" s="38"/>
      <c r="BW62" s="40"/>
      <c r="BX62" s="38"/>
      <c r="BZ62" s="41"/>
      <c r="CA62" s="38"/>
      <c r="CB62" s="40"/>
      <c r="CC62" s="38"/>
      <c r="CE62" s="41"/>
      <c r="CF62" s="38"/>
      <c r="CG62" s="40"/>
      <c r="CH62" s="38"/>
    </row>
    <row r="63" spans="8:86" x14ac:dyDescent="0.2">
      <c r="H63" s="53">
        <f>N4</f>
        <v>9.7106481481481471E-3</v>
      </c>
      <c r="L63" s="25"/>
      <c r="N63" s="38"/>
      <c r="O63" s="40"/>
      <c r="P63" s="38"/>
      <c r="Q63" s="96"/>
      <c r="R63" s="41"/>
      <c r="S63" s="38"/>
      <c r="T63" s="40"/>
      <c r="U63" s="38"/>
      <c r="W63" s="41"/>
      <c r="X63" s="38"/>
      <c r="Y63" s="40"/>
      <c r="Z63" s="38"/>
      <c r="AB63" s="41"/>
      <c r="AC63" s="38"/>
      <c r="AD63" s="40"/>
      <c r="AE63" s="38"/>
      <c r="AH63" s="38"/>
      <c r="AI63" s="40"/>
      <c r="AJ63" s="38"/>
      <c r="AL63" s="41"/>
      <c r="AM63" s="38"/>
      <c r="AN63" s="40"/>
      <c r="AO63" s="38"/>
      <c r="AQ63" s="41"/>
      <c r="AR63" s="38"/>
      <c r="AS63" s="40"/>
      <c r="AT63" s="38"/>
      <c r="AV63" s="41"/>
      <c r="AW63" s="38"/>
      <c r="AX63" s="40"/>
      <c r="AY63" s="38"/>
      <c r="BA63" s="41"/>
      <c r="BB63" s="38"/>
      <c r="BC63" s="40"/>
      <c r="BD63" s="38"/>
      <c r="BF63" s="41"/>
      <c r="BG63" s="38"/>
      <c r="BH63" s="40"/>
      <c r="BI63" s="38"/>
      <c r="BK63" s="41"/>
      <c r="BL63" s="38"/>
      <c r="BM63" s="40"/>
      <c r="BN63" s="38"/>
      <c r="BP63" s="41"/>
      <c r="BQ63" s="38"/>
      <c r="BR63" s="40"/>
      <c r="BS63" s="38"/>
      <c r="BU63" s="41"/>
      <c r="BV63" s="38"/>
      <c r="BW63" s="40"/>
      <c r="BX63" s="38"/>
      <c r="BZ63" s="41"/>
      <c r="CA63" s="38"/>
      <c r="CB63" s="40"/>
      <c r="CC63" s="38"/>
      <c r="CE63" s="41"/>
      <c r="CF63" s="38"/>
      <c r="CG63" s="40"/>
      <c r="CH63" s="38"/>
    </row>
    <row r="64" spans="8:86" x14ac:dyDescent="0.2">
      <c r="H64" s="53">
        <f>N5</f>
        <v>8.7962962962962968E-3</v>
      </c>
      <c r="L64" s="25"/>
      <c r="N64" s="38"/>
      <c r="O64" s="40"/>
      <c r="P64" s="38"/>
      <c r="Q64" s="96"/>
      <c r="R64" s="41"/>
      <c r="S64" s="38"/>
      <c r="T64" s="40"/>
      <c r="U64" s="38"/>
      <c r="W64" s="41"/>
      <c r="X64" s="38"/>
      <c r="Y64" s="40"/>
      <c r="Z64" s="38"/>
      <c r="AB64" s="41"/>
      <c r="AC64" s="38"/>
      <c r="AD64" s="40"/>
      <c r="AE64" s="38"/>
      <c r="AH64" s="38"/>
      <c r="AI64" s="40"/>
      <c r="AJ64" s="38"/>
      <c r="AL64" s="41"/>
      <c r="AM64" s="38"/>
      <c r="AN64" s="40"/>
      <c r="AO64" s="38"/>
      <c r="AQ64" s="41"/>
      <c r="AR64" s="38"/>
      <c r="AS64" s="40"/>
      <c r="AT64" s="38"/>
      <c r="AV64" s="41"/>
      <c r="AW64" s="38"/>
      <c r="AX64" s="40"/>
      <c r="AY64" s="38"/>
      <c r="BA64" s="41"/>
      <c r="BB64" s="38"/>
      <c r="BC64" s="40"/>
      <c r="BD64" s="38"/>
      <c r="BF64" s="41"/>
      <c r="BG64" s="38"/>
      <c r="BH64" s="40"/>
      <c r="BI64" s="38"/>
      <c r="BK64" s="41"/>
      <c r="BL64" s="38"/>
      <c r="BM64" s="40"/>
      <c r="BN64" s="38"/>
      <c r="BP64" s="41"/>
      <c r="BQ64" s="38"/>
      <c r="BR64" s="40"/>
      <c r="BS64" s="38"/>
      <c r="BU64" s="41"/>
      <c r="BV64" s="38"/>
      <c r="BW64" s="40"/>
      <c r="BX64" s="38"/>
      <c r="BZ64" s="41"/>
      <c r="CA64" s="38"/>
      <c r="CB64" s="40"/>
      <c r="CC64" s="38"/>
      <c r="CE64" s="41"/>
      <c r="CF64" s="38"/>
      <c r="CG64" s="40"/>
      <c r="CH64" s="38"/>
    </row>
    <row r="65" spans="8:86" x14ac:dyDescent="0.2">
      <c r="H65" s="53">
        <f>N6</f>
        <v>9.0393518518518522E-3</v>
      </c>
      <c r="L65" s="25"/>
      <c r="N65" s="38"/>
      <c r="O65" s="40"/>
      <c r="P65" s="38"/>
      <c r="Q65" s="96"/>
      <c r="R65" s="41"/>
      <c r="S65" s="38"/>
      <c r="T65" s="40"/>
      <c r="U65" s="38"/>
      <c r="W65" s="41"/>
      <c r="X65" s="38"/>
      <c r="Y65" s="40"/>
      <c r="Z65" s="38"/>
      <c r="AB65" s="41"/>
      <c r="AC65" s="38"/>
      <c r="AD65" s="40"/>
      <c r="AE65" s="38"/>
      <c r="AH65" s="38"/>
      <c r="AI65" s="40"/>
      <c r="AJ65" s="38"/>
      <c r="AL65" s="41"/>
      <c r="AM65" s="38"/>
      <c r="AN65" s="40"/>
      <c r="AO65" s="38"/>
      <c r="AQ65" s="41"/>
      <c r="AR65" s="38"/>
      <c r="AS65" s="40"/>
      <c r="AT65" s="38"/>
      <c r="AV65" s="41"/>
      <c r="AW65" s="38"/>
      <c r="AX65" s="40"/>
      <c r="AY65" s="38"/>
      <c r="BA65" s="41"/>
      <c r="BB65" s="38"/>
      <c r="BC65" s="40"/>
      <c r="BD65" s="38"/>
      <c r="BF65" s="41"/>
      <c r="BG65" s="38"/>
      <c r="BH65" s="40"/>
      <c r="BI65" s="38"/>
      <c r="BK65" s="41"/>
      <c r="BL65" s="38"/>
      <c r="BM65" s="40"/>
      <c r="BN65" s="38"/>
      <c r="BP65" s="41"/>
      <c r="BQ65" s="38"/>
      <c r="BR65" s="40"/>
      <c r="BS65" s="38"/>
      <c r="BU65" s="41"/>
      <c r="BV65" s="38"/>
      <c r="BW65" s="40"/>
      <c r="BX65" s="38"/>
      <c r="BZ65" s="41"/>
      <c r="CA65" s="38"/>
      <c r="CB65" s="40"/>
      <c r="CC65" s="38"/>
      <c r="CE65" s="41"/>
      <c r="CF65" s="38"/>
      <c r="CG65" s="40"/>
      <c r="CH65" s="38"/>
    </row>
    <row r="66" spans="8:86" x14ac:dyDescent="0.2">
      <c r="H66" s="53">
        <f>N7</f>
        <v>8.9814814814814809E-3</v>
      </c>
      <c r="L66" s="25"/>
      <c r="N66" s="38"/>
      <c r="O66" s="40"/>
      <c r="P66" s="38"/>
      <c r="Q66" s="96"/>
      <c r="R66" s="41"/>
      <c r="S66" s="38"/>
      <c r="T66" s="40"/>
      <c r="U66" s="38"/>
      <c r="W66" s="41"/>
      <c r="X66" s="38"/>
      <c r="Y66" s="40"/>
      <c r="Z66" s="38"/>
      <c r="AB66" s="41"/>
      <c r="AC66" s="38"/>
      <c r="AD66" s="40"/>
      <c r="AE66" s="38"/>
      <c r="AH66" s="38"/>
      <c r="AI66" s="40"/>
      <c r="AJ66" s="38"/>
      <c r="AL66" s="41"/>
      <c r="AM66" s="38"/>
      <c r="AN66" s="40"/>
      <c r="AO66" s="38"/>
      <c r="AQ66" s="41"/>
      <c r="AR66" s="38"/>
      <c r="AS66" s="40"/>
      <c r="AT66" s="38"/>
      <c r="AV66" s="41"/>
      <c r="AW66" s="38"/>
      <c r="AX66" s="40"/>
      <c r="AY66" s="38"/>
      <c r="BA66" s="41"/>
      <c r="BB66" s="38"/>
      <c r="BC66" s="40"/>
      <c r="BD66" s="38"/>
      <c r="BF66" s="41"/>
      <c r="BG66" s="38"/>
      <c r="BH66" s="40"/>
      <c r="BI66" s="38"/>
      <c r="BK66" s="41"/>
      <c r="BL66" s="38"/>
      <c r="BM66" s="40"/>
      <c r="BN66" s="38"/>
      <c r="BP66" s="41"/>
      <c r="BQ66" s="38"/>
      <c r="BR66" s="40"/>
      <c r="BS66" s="38"/>
      <c r="BU66" s="41"/>
      <c r="BV66" s="38"/>
      <c r="BW66" s="40"/>
      <c r="BX66" s="38"/>
      <c r="BZ66" s="41"/>
      <c r="CA66" s="38"/>
      <c r="CB66" s="40"/>
      <c r="CC66" s="38"/>
      <c r="CE66" s="41"/>
      <c r="CF66" s="38"/>
      <c r="CG66" s="40"/>
      <c r="CH66" s="38"/>
    </row>
    <row r="67" spans="8:86" x14ac:dyDescent="0.2">
      <c r="H67" s="53">
        <f t="shared" ref="H67:H70" si="58">N8</f>
        <v>9.3981481481481485E-3</v>
      </c>
      <c r="L67" s="25"/>
      <c r="N67" s="38"/>
      <c r="O67" s="40"/>
      <c r="P67" s="38"/>
      <c r="Q67" s="96"/>
      <c r="R67" s="41"/>
      <c r="S67" s="38"/>
      <c r="T67" s="40"/>
      <c r="U67" s="38"/>
      <c r="W67" s="41"/>
      <c r="X67" s="38"/>
      <c r="Y67" s="40"/>
      <c r="Z67" s="38"/>
      <c r="AB67" s="41"/>
      <c r="AC67" s="38"/>
      <c r="AD67" s="40"/>
      <c r="AE67" s="38"/>
      <c r="AH67" s="38"/>
      <c r="AI67" s="40"/>
      <c r="AJ67" s="38"/>
      <c r="AL67" s="41"/>
      <c r="AM67" s="38"/>
      <c r="AN67" s="40"/>
      <c r="AO67" s="38"/>
      <c r="AQ67" s="41"/>
      <c r="AR67" s="38"/>
      <c r="AS67" s="40"/>
      <c r="AT67" s="38"/>
      <c r="AV67" s="41"/>
      <c r="AW67" s="38"/>
      <c r="AX67" s="40"/>
      <c r="AY67" s="38"/>
      <c r="BA67" s="41"/>
      <c r="BB67" s="38"/>
      <c r="BC67" s="40"/>
      <c r="BD67" s="38"/>
      <c r="BF67" s="41"/>
      <c r="BG67" s="38"/>
      <c r="BH67" s="40"/>
      <c r="BI67" s="38"/>
      <c r="BK67" s="41"/>
      <c r="BL67" s="38"/>
      <c r="BM67" s="40"/>
      <c r="BN67" s="38"/>
      <c r="BP67" s="41"/>
      <c r="BQ67" s="38"/>
      <c r="BR67" s="40"/>
      <c r="BS67" s="38"/>
      <c r="BU67" s="41"/>
      <c r="BV67" s="38"/>
      <c r="BW67" s="40"/>
      <c r="BX67" s="38"/>
      <c r="BZ67" s="41"/>
      <c r="CA67" s="38"/>
      <c r="CB67" s="40"/>
      <c r="CC67" s="38"/>
      <c r="CE67" s="41"/>
      <c r="CF67" s="38"/>
      <c r="CG67" s="40"/>
      <c r="CH67" s="38"/>
    </row>
    <row r="68" spans="8:86" x14ac:dyDescent="0.2">
      <c r="H68" s="53">
        <f t="shared" si="58"/>
        <v>9.6874999999999999E-3</v>
      </c>
      <c r="L68" s="25"/>
      <c r="N68" s="38"/>
      <c r="O68" s="40"/>
      <c r="P68" s="38"/>
      <c r="Q68" s="96"/>
      <c r="R68" s="41"/>
      <c r="S68" s="38"/>
      <c r="T68" s="40"/>
      <c r="U68" s="38"/>
      <c r="W68" s="41"/>
      <c r="X68" s="38"/>
      <c r="Y68" s="40"/>
      <c r="Z68" s="38"/>
      <c r="AB68" s="41"/>
      <c r="AC68" s="38"/>
      <c r="AD68" s="40"/>
      <c r="AE68" s="38"/>
      <c r="AH68" s="38"/>
      <c r="AI68" s="40"/>
      <c r="AJ68" s="38"/>
      <c r="AL68" s="41"/>
      <c r="AM68" s="38"/>
      <c r="AN68" s="40"/>
      <c r="AO68" s="38"/>
      <c r="AQ68" s="41"/>
      <c r="AR68" s="38"/>
      <c r="AS68" s="40"/>
      <c r="AT68" s="38"/>
      <c r="AV68" s="41"/>
      <c r="AW68" s="38"/>
      <c r="AX68" s="40"/>
      <c r="AY68" s="38"/>
      <c r="BA68" s="41"/>
      <c r="BB68" s="38"/>
      <c r="BC68" s="40"/>
      <c r="BD68" s="38"/>
      <c r="BF68" s="41"/>
      <c r="BG68" s="38"/>
      <c r="BH68" s="40"/>
      <c r="BI68" s="38"/>
      <c r="BK68" s="41"/>
      <c r="BL68" s="38"/>
      <c r="BM68" s="40"/>
      <c r="BN68" s="38"/>
      <c r="BP68" s="41"/>
      <c r="BQ68" s="38"/>
      <c r="BR68" s="40"/>
      <c r="BS68" s="38"/>
      <c r="BU68" s="41"/>
      <c r="BV68" s="38"/>
      <c r="BW68" s="40"/>
      <c r="BX68" s="38"/>
      <c r="BZ68" s="41"/>
      <c r="CA68" s="38"/>
      <c r="CB68" s="40"/>
      <c r="CC68" s="38"/>
      <c r="CE68" s="41"/>
      <c r="CF68" s="38"/>
      <c r="CG68" s="40"/>
      <c r="CH68" s="38"/>
    </row>
    <row r="69" spans="8:86" x14ac:dyDescent="0.2">
      <c r="H69" s="53">
        <f t="shared" si="58"/>
        <v>9.3749999999999997E-3</v>
      </c>
      <c r="L69" s="25"/>
      <c r="N69" s="38"/>
      <c r="O69" s="40"/>
      <c r="P69" s="38"/>
      <c r="Q69" s="96"/>
      <c r="R69" s="41"/>
      <c r="S69" s="38"/>
      <c r="T69" s="40"/>
      <c r="U69" s="38"/>
      <c r="W69" s="41"/>
      <c r="X69" s="38"/>
      <c r="Y69" s="40"/>
      <c r="Z69" s="38"/>
      <c r="AB69" s="41"/>
      <c r="AC69" s="38"/>
      <c r="AD69" s="40"/>
      <c r="AE69" s="38"/>
      <c r="AH69" s="38"/>
      <c r="AI69" s="40"/>
      <c r="AJ69" s="38"/>
      <c r="AL69" s="41"/>
      <c r="AM69" s="38"/>
      <c r="AN69" s="40"/>
      <c r="AO69" s="38"/>
      <c r="AQ69" s="41"/>
      <c r="AR69" s="38"/>
      <c r="AS69" s="40"/>
      <c r="AT69" s="38"/>
      <c r="AV69" s="41"/>
      <c r="AW69" s="38"/>
      <c r="AX69" s="40"/>
      <c r="AY69" s="38"/>
      <c r="BA69" s="41"/>
      <c r="BB69" s="38"/>
      <c r="BC69" s="40"/>
      <c r="BD69" s="38"/>
      <c r="BF69" s="41"/>
      <c r="BG69" s="38"/>
      <c r="BH69" s="40"/>
      <c r="BI69" s="38"/>
      <c r="BK69" s="41"/>
      <c r="BL69" s="38"/>
      <c r="BM69" s="40"/>
      <c r="BN69" s="38"/>
      <c r="BP69" s="41"/>
      <c r="BQ69" s="38"/>
      <c r="BR69" s="40"/>
      <c r="BS69" s="38"/>
      <c r="BU69" s="41"/>
      <c r="BV69" s="38"/>
      <c r="BW69" s="40"/>
      <c r="BX69" s="38"/>
      <c r="BZ69" s="41"/>
      <c r="CA69" s="38"/>
      <c r="CB69" s="40"/>
      <c r="CC69" s="38"/>
      <c r="CE69" s="41"/>
      <c r="CF69" s="38"/>
      <c r="CG69" s="40"/>
      <c r="CH69" s="38"/>
    </row>
    <row r="70" spans="8:86" x14ac:dyDescent="0.2">
      <c r="H70" s="53">
        <f t="shared" si="58"/>
        <v>9.6874999999999999E-3</v>
      </c>
      <c r="L70" s="25"/>
      <c r="N70" s="38"/>
      <c r="O70" s="40"/>
      <c r="P70" s="38"/>
      <c r="Q70" s="96"/>
      <c r="R70" s="41"/>
      <c r="S70" s="38"/>
      <c r="T70" s="40"/>
      <c r="U70" s="38"/>
      <c r="W70" s="41"/>
      <c r="X70" s="38"/>
      <c r="Y70" s="40"/>
      <c r="Z70" s="38"/>
      <c r="AB70" s="41"/>
      <c r="AC70" s="38"/>
      <c r="AD70" s="40"/>
      <c r="AE70" s="38"/>
      <c r="AH70" s="38"/>
      <c r="AI70" s="40"/>
      <c r="AJ70" s="38"/>
      <c r="AL70" s="41"/>
      <c r="AM70" s="38"/>
      <c r="AN70" s="40"/>
      <c r="AO70" s="38"/>
      <c r="AQ70" s="41"/>
      <c r="AR70" s="38"/>
      <c r="AS70" s="40"/>
      <c r="AT70" s="38"/>
      <c r="AV70" s="41"/>
      <c r="AW70" s="38"/>
      <c r="AX70" s="40"/>
      <c r="AY70" s="38"/>
      <c r="BA70" s="41"/>
      <c r="BB70" s="38"/>
      <c r="BC70" s="40"/>
      <c r="BD70" s="38"/>
      <c r="BF70" s="41"/>
      <c r="BG70" s="38"/>
      <c r="BH70" s="40"/>
      <c r="BI70" s="38"/>
      <c r="BK70" s="41"/>
      <c r="BL70" s="38"/>
      <c r="BM70" s="40"/>
      <c r="BN70" s="38"/>
      <c r="BP70" s="41"/>
      <c r="BQ70" s="38"/>
      <c r="BR70" s="40"/>
      <c r="BS70" s="38"/>
      <c r="BU70" s="41"/>
      <c r="BV70" s="38"/>
      <c r="BW70" s="40"/>
      <c r="BX70" s="38"/>
      <c r="BZ70" s="41"/>
      <c r="CA70" s="38"/>
      <c r="CB70" s="40"/>
      <c r="CC70" s="38"/>
      <c r="CE70" s="41"/>
      <c r="CF70" s="38"/>
      <c r="CG70" s="40"/>
      <c r="CH70" s="38"/>
    </row>
    <row r="71" spans="8:86" x14ac:dyDescent="0.2">
      <c r="H71" s="53">
        <f>S4</f>
        <v>1.119212962962963E-2</v>
      </c>
      <c r="L71" s="25"/>
      <c r="N71" s="38"/>
      <c r="O71" s="40"/>
      <c r="P71" s="38"/>
      <c r="Q71" s="96"/>
      <c r="R71" s="41"/>
      <c r="S71" s="38"/>
      <c r="T71" s="40"/>
      <c r="U71" s="38"/>
      <c r="W71" s="41"/>
      <c r="X71" s="38"/>
      <c r="Y71" s="40"/>
      <c r="Z71" s="38"/>
      <c r="AB71" s="41"/>
      <c r="AC71" s="38"/>
      <c r="AD71" s="40"/>
      <c r="AE71" s="38"/>
      <c r="AH71" s="38"/>
      <c r="AI71" s="40"/>
      <c r="AJ71" s="38"/>
      <c r="AL71" s="41"/>
      <c r="AM71" s="38"/>
      <c r="AN71" s="40"/>
      <c r="AO71" s="38"/>
      <c r="AQ71" s="41"/>
      <c r="AR71" s="38"/>
      <c r="AS71" s="40"/>
      <c r="AT71" s="38"/>
      <c r="AV71" s="41"/>
      <c r="AW71" s="38"/>
      <c r="AX71" s="40"/>
      <c r="AY71" s="38"/>
      <c r="BA71" s="41"/>
      <c r="BB71" s="38"/>
      <c r="BC71" s="40"/>
      <c r="BD71" s="38"/>
      <c r="BF71" s="41"/>
      <c r="BG71" s="38"/>
      <c r="BH71" s="40"/>
      <c r="BI71" s="38"/>
      <c r="BK71" s="41"/>
      <c r="BL71" s="38"/>
      <c r="BM71" s="40"/>
      <c r="BN71" s="38"/>
      <c r="BP71" s="41"/>
      <c r="BQ71" s="38"/>
      <c r="BR71" s="40"/>
      <c r="BS71" s="38"/>
      <c r="BU71" s="41"/>
      <c r="BV71" s="38"/>
      <c r="BW71" s="40"/>
      <c r="BX71" s="38"/>
      <c r="BZ71" s="41"/>
      <c r="CA71" s="38"/>
      <c r="CB71" s="40"/>
      <c r="CC71" s="38"/>
      <c r="CE71" s="41"/>
      <c r="CF71" s="38"/>
      <c r="CG71" s="40"/>
      <c r="CH71" s="38"/>
    </row>
    <row r="72" spans="8:86" x14ac:dyDescent="0.2">
      <c r="H72" s="53">
        <f>S5</f>
        <v>1.1875000000000002E-2</v>
      </c>
      <c r="L72" s="25"/>
      <c r="N72" s="38"/>
      <c r="O72" s="40"/>
      <c r="P72" s="38"/>
      <c r="Q72" s="96"/>
      <c r="R72" s="41"/>
      <c r="S72" s="38"/>
      <c r="T72" s="40"/>
      <c r="U72" s="38"/>
      <c r="W72" s="41"/>
      <c r="X72" s="38"/>
      <c r="Y72" s="40"/>
      <c r="Z72" s="38"/>
      <c r="AB72" s="41"/>
      <c r="AC72" s="38"/>
      <c r="AD72" s="40"/>
      <c r="AE72" s="38"/>
      <c r="AH72" s="38"/>
      <c r="AI72" s="40"/>
      <c r="AJ72" s="38"/>
      <c r="AL72" s="41"/>
      <c r="AM72" s="38"/>
      <c r="AN72" s="40"/>
      <c r="AO72" s="38"/>
      <c r="AQ72" s="41"/>
      <c r="AR72" s="38"/>
      <c r="AS72" s="40"/>
      <c r="AT72" s="38"/>
      <c r="AV72" s="41"/>
      <c r="AW72" s="38"/>
      <c r="AX72" s="40"/>
      <c r="AY72" s="38"/>
      <c r="BA72" s="41"/>
      <c r="BB72" s="38"/>
      <c r="BC72" s="40"/>
      <c r="BD72" s="38"/>
      <c r="BF72" s="41"/>
      <c r="BG72" s="38"/>
      <c r="BH72" s="40"/>
      <c r="BI72" s="38"/>
      <c r="BK72" s="41"/>
      <c r="BL72" s="38"/>
      <c r="BM72" s="40"/>
      <c r="BN72" s="38"/>
      <c r="BP72" s="41"/>
      <c r="BQ72" s="38"/>
      <c r="BR72" s="40"/>
      <c r="BS72" s="38"/>
      <c r="BU72" s="41"/>
      <c r="BV72" s="38"/>
      <c r="BW72" s="40"/>
      <c r="BX72" s="38"/>
      <c r="BZ72" s="41"/>
      <c r="CA72" s="38"/>
      <c r="CB72" s="40"/>
      <c r="CC72" s="38"/>
      <c r="CE72" s="41"/>
      <c r="CF72" s="38"/>
      <c r="CG72" s="40"/>
      <c r="CH72" s="38"/>
    </row>
    <row r="73" spans="8:86" x14ac:dyDescent="0.2">
      <c r="H73" s="53">
        <f>S6</f>
        <v>1.0439814814814813E-2</v>
      </c>
      <c r="L73" s="25"/>
      <c r="N73" s="38"/>
      <c r="O73" s="40"/>
      <c r="P73" s="38"/>
      <c r="Q73" s="96"/>
      <c r="R73" s="41"/>
      <c r="S73" s="38"/>
      <c r="T73" s="40"/>
      <c r="U73" s="38"/>
      <c r="W73" s="41"/>
      <c r="X73" s="38"/>
      <c r="Y73" s="40"/>
      <c r="Z73" s="38"/>
      <c r="AB73" s="41"/>
      <c r="AC73" s="38"/>
      <c r="AD73" s="40"/>
      <c r="AE73" s="38"/>
      <c r="AH73" s="38"/>
      <c r="AI73" s="40"/>
      <c r="AJ73" s="38"/>
      <c r="AL73" s="41"/>
      <c r="AM73" s="38"/>
      <c r="AN73" s="40"/>
      <c r="AO73" s="38"/>
      <c r="AQ73" s="41"/>
      <c r="AR73" s="38"/>
      <c r="AS73" s="40"/>
      <c r="AT73" s="38"/>
      <c r="AV73" s="41"/>
      <c r="AW73" s="38"/>
      <c r="AX73" s="40"/>
      <c r="AY73" s="38"/>
      <c r="BA73" s="41"/>
      <c r="BB73" s="38"/>
      <c r="BC73" s="40"/>
      <c r="BD73" s="38"/>
      <c r="BF73" s="41"/>
      <c r="BG73" s="38"/>
      <c r="BH73" s="40"/>
      <c r="BI73" s="38"/>
      <c r="BK73" s="41"/>
      <c r="BL73" s="38"/>
      <c r="BM73" s="40"/>
      <c r="BN73" s="38"/>
      <c r="BP73" s="41"/>
      <c r="BQ73" s="38"/>
      <c r="BR73" s="40"/>
      <c r="BS73" s="38"/>
      <c r="BU73" s="41"/>
      <c r="BV73" s="38"/>
      <c r="BW73" s="40"/>
      <c r="BX73" s="38"/>
      <c r="BZ73" s="41"/>
      <c r="CA73" s="38"/>
      <c r="CB73" s="40"/>
      <c r="CC73" s="38"/>
      <c r="CE73" s="41"/>
      <c r="CF73" s="38"/>
      <c r="CG73" s="40"/>
      <c r="CH73" s="38"/>
    </row>
    <row r="74" spans="8:86" x14ac:dyDescent="0.2">
      <c r="H74" s="53">
        <f>S7</f>
        <v>1.0208333333333333E-2</v>
      </c>
      <c r="L74" s="25"/>
      <c r="N74" s="38"/>
      <c r="O74" s="40"/>
      <c r="P74" s="38"/>
      <c r="Q74" s="96"/>
      <c r="R74" s="41"/>
      <c r="S74" s="38"/>
      <c r="T74" s="40"/>
      <c r="U74" s="38"/>
      <c r="W74" s="41"/>
      <c r="X74" s="38"/>
      <c r="Y74" s="40"/>
      <c r="Z74" s="38"/>
      <c r="AB74" s="41"/>
      <c r="AC74" s="38"/>
      <c r="AD74" s="40"/>
      <c r="AE74" s="38"/>
      <c r="AH74" s="38"/>
      <c r="AI74" s="40"/>
      <c r="AJ74" s="38"/>
      <c r="AL74" s="41"/>
      <c r="AM74" s="38"/>
      <c r="AN74" s="40"/>
      <c r="AO74" s="38"/>
      <c r="AQ74" s="41"/>
      <c r="AR74" s="38"/>
      <c r="AS74" s="40"/>
      <c r="AT74" s="38"/>
      <c r="AV74" s="41"/>
      <c r="AW74" s="38"/>
      <c r="AX74" s="40"/>
      <c r="AY74" s="38"/>
      <c r="BA74" s="41"/>
      <c r="BB74" s="38"/>
      <c r="BC74" s="40"/>
      <c r="BD74" s="38"/>
      <c r="BF74" s="41"/>
      <c r="BG74" s="38"/>
      <c r="BH74" s="40"/>
      <c r="BI74" s="38"/>
      <c r="BK74" s="41"/>
      <c r="BL74" s="38"/>
      <c r="BM74" s="40"/>
      <c r="BN74" s="38"/>
      <c r="BP74" s="41"/>
      <c r="BQ74" s="38"/>
      <c r="BR74" s="40"/>
      <c r="BS74" s="38"/>
      <c r="BU74" s="41"/>
      <c r="BV74" s="38"/>
      <c r="BW74" s="40"/>
      <c r="BX74" s="38"/>
      <c r="BZ74" s="41"/>
      <c r="CA74" s="38"/>
      <c r="CB74" s="40"/>
      <c r="CC74" s="38"/>
      <c r="CE74" s="41"/>
      <c r="CF74" s="38"/>
      <c r="CG74" s="40"/>
      <c r="CH74" s="38"/>
    </row>
    <row r="75" spans="8:86" x14ac:dyDescent="0.2">
      <c r="H75" s="53">
        <f t="shared" ref="H75:H78" si="59">S8</f>
        <v>1.0613425925925927E-2</v>
      </c>
      <c r="L75" s="25"/>
      <c r="N75" s="38"/>
      <c r="O75" s="40"/>
      <c r="P75" s="38"/>
      <c r="Q75" s="96"/>
      <c r="R75" s="41"/>
      <c r="S75" s="38"/>
      <c r="T75" s="40"/>
      <c r="U75" s="38"/>
      <c r="W75" s="41"/>
      <c r="X75" s="38"/>
      <c r="Y75" s="40"/>
      <c r="Z75" s="38"/>
      <c r="AB75" s="41"/>
      <c r="AC75" s="38"/>
      <c r="AD75" s="40"/>
      <c r="AE75" s="38"/>
      <c r="AH75" s="38"/>
      <c r="AI75" s="40"/>
      <c r="AJ75" s="38"/>
      <c r="AL75" s="41"/>
      <c r="AM75" s="38"/>
      <c r="AN75" s="40"/>
      <c r="AO75" s="38"/>
      <c r="AQ75" s="41"/>
      <c r="AR75" s="38"/>
      <c r="AS75" s="40"/>
      <c r="AT75" s="38"/>
      <c r="AV75" s="41"/>
      <c r="AW75" s="38"/>
      <c r="AX75" s="40"/>
      <c r="AY75" s="38"/>
      <c r="BA75" s="41"/>
      <c r="BB75" s="38"/>
      <c r="BC75" s="40"/>
      <c r="BD75" s="38"/>
      <c r="BF75" s="41"/>
      <c r="BG75" s="38"/>
      <c r="BH75" s="40"/>
      <c r="BI75" s="38"/>
      <c r="BK75" s="41"/>
      <c r="BL75" s="38"/>
      <c r="BM75" s="40"/>
      <c r="BN75" s="38"/>
      <c r="BP75" s="41"/>
      <c r="BQ75" s="38"/>
      <c r="BR75" s="40"/>
      <c r="BS75" s="38"/>
      <c r="BU75" s="41"/>
      <c r="BV75" s="38"/>
      <c r="BW75" s="40"/>
      <c r="BX75" s="38"/>
      <c r="BZ75" s="41"/>
      <c r="CA75" s="38"/>
      <c r="CB75" s="40"/>
      <c r="CC75" s="38"/>
      <c r="CE75" s="41"/>
      <c r="CF75" s="38"/>
      <c r="CG75" s="40"/>
      <c r="CH75" s="38"/>
    </row>
    <row r="76" spans="8:86" x14ac:dyDescent="0.2">
      <c r="H76" s="53">
        <f t="shared" si="59"/>
        <v>1.0787037037037038E-2</v>
      </c>
    </row>
    <row r="77" spans="8:86" x14ac:dyDescent="0.2">
      <c r="H77" s="53">
        <f t="shared" si="59"/>
        <v>1.0891203703703703E-2</v>
      </c>
    </row>
    <row r="78" spans="8:86" x14ac:dyDescent="0.2">
      <c r="H78" s="53">
        <f t="shared" si="59"/>
        <v>9.7685185185185184E-3</v>
      </c>
    </row>
    <row r="79" spans="8:86" x14ac:dyDescent="0.2">
      <c r="H79" s="53">
        <f>X4</f>
        <v>7.8009259259259256E-3</v>
      </c>
    </row>
    <row r="80" spans="8:86" x14ac:dyDescent="0.2">
      <c r="H80" s="53">
        <f>X5</f>
        <v>8.4143518518518517E-3</v>
      </c>
    </row>
    <row r="81" spans="8:8" x14ac:dyDescent="0.2">
      <c r="H81" s="53">
        <f>X6</f>
        <v>8.7847222222222233E-3</v>
      </c>
    </row>
    <row r="82" spans="8:8" x14ac:dyDescent="0.2">
      <c r="H82" s="53">
        <f>X7</f>
        <v>8.6342592592592599E-3</v>
      </c>
    </row>
    <row r="83" spans="8:8" x14ac:dyDescent="0.2">
      <c r="H83" s="53">
        <f t="shared" ref="H83:H86" si="60">X8</f>
        <v>8.9236111111111113E-3</v>
      </c>
    </row>
    <row r="84" spans="8:8" x14ac:dyDescent="0.2">
      <c r="H84" s="53">
        <f t="shared" si="60"/>
        <v>8.9930555555555545E-3</v>
      </c>
    </row>
    <row r="85" spans="8:8" x14ac:dyDescent="0.2">
      <c r="H85" s="53">
        <f t="shared" si="60"/>
        <v>8.518518518518519E-3</v>
      </c>
    </row>
    <row r="86" spans="8:8" x14ac:dyDescent="0.2">
      <c r="H86" s="53">
        <f t="shared" si="60"/>
        <v>8.8541666666666664E-3</v>
      </c>
    </row>
  </sheetData>
  <phoneticPr fontId="0" type="noConversion"/>
  <dataValidations count="8">
    <dataValidation type="list" allowBlank="1" showInputMessage="1" showErrorMessage="1" sqref="AL4 R15 AG15 R4 W15 AG4 H4 M4 H15 AB4 M15 AL15 AQ4 W4 AB15 AQ15" xr:uid="{00000000-0002-0000-0100-000000000000}">
      <formula1>$B$27:$E$27</formula1>
    </dataValidation>
    <dataValidation type="list" allowBlank="1" showInputMessage="1" showErrorMessage="1" sqref="H5 M5 R5 W5 AB5 AG5 AL5 AQ5 H16 M16 R16 W16 AB16 AG16 AL16 AQ16" xr:uid="{00000000-0002-0000-0100-000001000000}">
      <formula1>$B$28:$E$28</formula1>
    </dataValidation>
    <dataValidation type="list" allowBlank="1" showInputMessage="1" showErrorMessage="1" sqref="H6 M6 R6 W6 AB6 AG6 AL6 AQ6 H17 M17 R17 W17 AB17 AG17 AL17 AQ17" xr:uid="{00000000-0002-0000-0100-000002000000}">
      <formula1>$B$29:$E$29</formula1>
    </dataValidation>
    <dataValidation type="list" allowBlank="1" showInputMessage="1" showErrorMessage="1" sqref="H7 M7 R7 W7 AB7 AG7 AL7 AQ7 H18 M18 R18 W18 AB18 AG18 AL18 AQ18" xr:uid="{00000000-0002-0000-0100-000003000000}">
      <formula1>$B$30:$E$30</formula1>
    </dataValidation>
    <dataValidation type="list" allowBlank="1" showInputMessage="1" showErrorMessage="1" sqref="AQ19 AL19 AG19 AB19 W19 R19 M19 H19 AQ8 AL8 AG8 AB8 W8 R8 M8 H8" xr:uid="{00000000-0002-0000-0100-000005000000}">
      <formula1>$B$31:$E$31</formula1>
    </dataValidation>
    <dataValidation type="list" allowBlank="1" showInputMessage="1" showErrorMessage="1" sqref="H9 H20 M20 R20 W20 AB20 AG20 AL20 AQ20 AQ9 AL9 AG9 AB9 W9 R9 M9" xr:uid="{00000000-0002-0000-0100-000006000000}">
      <formula1>$B$32:$E$32</formula1>
    </dataValidation>
    <dataValidation type="list" allowBlank="1" showInputMessage="1" showErrorMessage="1" sqref="H10 AG21 M21 R21 W21 AB21 H21 AL21 AQ21 AQ10 AL10 AG10 AB10 W10 R10 M10" xr:uid="{00000000-0002-0000-0100-000007000000}">
      <formula1>$B$33:$E$33</formula1>
    </dataValidation>
    <dataValidation type="list" allowBlank="1" showInputMessage="1" showErrorMessage="1" sqref="H11 H22 M22 R22 W22 AB22 AG22 AL22 AQ22 AQ11 AL11 AG11 AB11 W11 R11 M11" xr:uid="{00000000-0002-0000-0100-000008000000}">
      <formula1>$B$34:$E$34</formula1>
    </dataValidation>
  </dataValidations>
  <pageMargins left="0.36" right="0.59" top="1" bottom="1" header="0.5" footer="0.5"/>
  <pageSetup paperSize="9" scale="32" orientation="landscape" horizontalDpi="300" verticalDpi="300" r:id="rId1"/>
  <headerFooter alignWithMargins="0"/>
  <ignoredErrors>
    <ignoredError sqref="H55 H56:H58 H59:H66 H67:H74 H75:H82 H83:H8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BO21"/>
  <sheetViews>
    <sheetView showZeros="0" zoomScale="85" zoomScaleNormal="85" workbookViewId="0">
      <pane xSplit="1" topLeftCell="B1" activePane="topRight" state="frozen"/>
      <selection pane="topRight"/>
    </sheetView>
  </sheetViews>
  <sheetFormatPr defaultRowHeight="12.75" x14ac:dyDescent="0.2"/>
  <cols>
    <col min="1" max="1" width="24.140625" style="15" customWidth="1"/>
    <col min="2" max="2" width="14.85546875" style="71" bestFit="1" customWidth="1"/>
    <col min="3" max="3" width="6.7109375" style="15" customWidth="1"/>
    <col min="4" max="4" width="11.42578125" style="15" customWidth="1"/>
    <col min="5" max="5" width="15.7109375" style="120" customWidth="1"/>
    <col min="6" max="6" width="6.7109375" style="121" customWidth="1"/>
    <col min="7" max="7" width="12.7109375" style="121" bestFit="1" customWidth="1"/>
    <col min="8" max="8" width="15.7109375" style="120" customWidth="1"/>
    <col min="9" max="9" width="6.7109375" style="121" customWidth="1"/>
    <col min="10" max="10" width="12.7109375" style="121" bestFit="1" customWidth="1"/>
    <col min="11" max="11" width="15.7109375" style="71" customWidth="1"/>
    <col min="12" max="12" width="6.7109375" style="15" customWidth="1"/>
    <col min="13" max="13" width="11" style="15" bestFit="1" customWidth="1"/>
    <col min="14" max="14" width="15.7109375" style="71" customWidth="1"/>
    <col min="15" max="15" width="6.7109375" style="15" customWidth="1"/>
    <col min="16" max="16" width="11" style="15" bestFit="1" customWidth="1"/>
    <col min="17" max="17" width="15.7109375" style="71" customWidth="1"/>
    <col min="18" max="18" width="6.7109375" style="15" customWidth="1"/>
    <col min="19" max="19" width="11" style="15" bestFit="1" customWidth="1"/>
    <col min="20" max="20" width="15.7109375" style="71" customWidth="1"/>
    <col min="21" max="21" width="6.7109375" style="15" customWidth="1"/>
    <col min="22" max="22" width="11" style="15" bestFit="1" customWidth="1"/>
    <col min="23" max="23" width="15.7109375" style="71" customWidth="1"/>
    <col min="24" max="24" width="6.7109375" style="15" customWidth="1"/>
    <col min="25" max="25" width="11" style="15" bestFit="1" customWidth="1"/>
    <col min="26" max="26" width="15.140625" style="71" bestFit="1" customWidth="1"/>
    <col min="27" max="27" width="6.7109375" style="15" customWidth="1"/>
    <col min="28" max="28" width="11" style="15" bestFit="1" customWidth="1"/>
    <col min="29" max="29" width="15.7109375" style="71" customWidth="1"/>
    <col min="30" max="30" width="6.7109375" style="15" customWidth="1"/>
    <col min="31" max="31" width="11" style="15" bestFit="1" customWidth="1"/>
    <col min="32" max="32" width="15.7109375" style="71" customWidth="1"/>
    <col min="33" max="33" width="6.7109375" style="15" customWidth="1"/>
    <col min="34" max="34" width="11" style="15" bestFit="1" customWidth="1"/>
    <col min="35" max="35" width="15.7109375" style="71" customWidth="1"/>
    <col min="36" max="36" width="6.7109375" style="15" customWidth="1"/>
    <col min="37" max="37" width="11" style="15" bestFit="1" customWidth="1"/>
    <col min="38" max="38" width="15.7109375" style="71" customWidth="1"/>
    <col min="39" max="39" width="6.7109375" style="15" customWidth="1"/>
    <col min="40" max="40" width="11" style="15" bestFit="1" customWidth="1"/>
    <col min="41" max="41" width="15.7109375" style="71" customWidth="1"/>
    <col min="42" max="42" width="6.7109375" style="15" customWidth="1"/>
    <col min="43" max="43" width="11" style="15" bestFit="1" customWidth="1"/>
    <col min="44" max="44" width="15.7109375" style="71" customWidth="1"/>
    <col min="45" max="45" width="6.7109375" style="15" customWidth="1"/>
    <col min="46" max="46" width="11" style="15" bestFit="1" customWidth="1"/>
    <col min="47" max="47" width="15.7109375" style="71" customWidth="1"/>
    <col min="48" max="48" width="6.7109375" style="15" customWidth="1"/>
    <col min="49" max="49" width="11" style="15" bestFit="1" customWidth="1"/>
    <col min="50" max="50" width="52.140625" style="88" customWidth="1"/>
    <col min="51" max="51" width="16" style="88" customWidth="1"/>
    <col min="52" max="67" width="9.140625" style="88"/>
    <col min="68" max="16384" width="9.140625" style="15"/>
  </cols>
  <sheetData>
    <row r="2" spans="1:67" x14ac:dyDescent="0.2">
      <c r="B2" s="79" t="s">
        <v>5</v>
      </c>
      <c r="C2" s="80"/>
      <c r="D2" s="81"/>
      <c r="E2" s="111" t="s">
        <v>12</v>
      </c>
      <c r="F2" s="112"/>
      <c r="G2" s="113"/>
      <c r="H2" s="79" t="s">
        <v>13</v>
      </c>
      <c r="I2" s="80"/>
      <c r="J2" s="81"/>
      <c r="K2" s="79" t="s">
        <v>14</v>
      </c>
      <c r="L2" s="80"/>
      <c r="M2" s="81"/>
      <c r="N2" s="79" t="s">
        <v>15</v>
      </c>
      <c r="O2" s="80"/>
      <c r="P2" s="81"/>
      <c r="Q2" s="79" t="s">
        <v>16</v>
      </c>
      <c r="R2" s="80"/>
      <c r="S2" s="81"/>
      <c r="T2" s="79" t="s">
        <v>17</v>
      </c>
      <c r="U2" s="80"/>
      <c r="V2" s="81"/>
      <c r="W2" s="79" t="s">
        <v>18</v>
      </c>
      <c r="X2" s="80"/>
      <c r="Y2" s="81"/>
      <c r="Z2" s="79" t="s">
        <v>21</v>
      </c>
      <c r="AA2" s="80"/>
      <c r="AB2" s="81"/>
      <c r="AC2" s="79" t="s">
        <v>22</v>
      </c>
      <c r="AD2" s="80"/>
      <c r="AE2" s="81"/>
      <c r="AF2" s="79" t="s">
        <v>23</v>
      </c>
      <c r="AG2" s="80"/>
      <c r="AH2" s="81"/>
      <c r="AI2" s="79" t="s">
        <v>24</v>
      </c>
      <c r="AJ2" s="80"/>
      <c r="AK2" s="81"/>
      <c r="AL2" s="79" t="s">
        <v>25</v>
      </c>
      <c r="AM2" s="80"/>
      <c r="AN2" s="81"/>
      <c r="AO2" s="79" t="s">
        <v>26</v>
      </c>
      <c r="AP2" s="80"/>
      <c r="AQ2" s="81"/>
      <c r="AR2" s="79" t="s">
        <v>48</v>
      </c>
      <c r="AS2" s="80"/>
      <c r="AT2" s="81"/>
      <c r="AU2" s="79" t="s">
        <v>49</v>
      </c>
      <c r="AV2" s="80"/>
      <c r="AW2" s="81"/>
    </row>
    <row r="3" spans="1:67" s="17" customFormat="1" ht="20.100000000000001" customHeight="1" x14ac:dyDescent="0.2">
      <c r="A3" s="72" t="s">
        <v>0</v>
      </c>
      <c r="B3" s="73" t="s">
        <v>6</v>
      </c>
      <c r="C3" s="74" t="s">
        <v>7</v>
      </c>
      <c r="D3" s="75" t="s">
        <v>41</v>
      </c>
      <c r="E3" s="114" t="s">
        <v>6</v>
      </c>
      <c r="F3" s="115" t="s">
        <v>7</v>
      </c>
      <c r="G3" s="116" t="s">
        <v>41</v>
      </c>
      <c r="H3" s="114" t="s">
        <v>6</v>
      </c>
      <c r="I3" s="115" t="s">
        <v>7</v>
      </c>
      <c r="J3" s="116" t="s">
        <v>41</v>
      </c>
      <c r="K3" s="76" t="s">
        <v>6</v>
      </c>
      <c r="L3" s="77" t="s">
        <v>7</v>
      </c>
      <c r="M3" s="78" t="s">
        <v>41</v>
      </c>
      <c r="N3" s="76" t="s">
        <v>6</v>
      </c>
      <c r="O3" s="77" t="s">
        <v>7</v>
      </c>
      <c r="P3" s="78" t="s">
        <v>41</v>
      </c>
      <c r="Q3" s="76" t="s">
        <v>6</v>
      </c>
      <c r="R3" s="77" t="s">
        <v>7</v>
      </c>
      <c r="S3" s="78" t="s">
        <v>41</v>
      </c>
      <c r="T3" s="76" t="s">
        <v>6</v>
      </c>
      <c r="U3" s="77" t="s">
        <v>7</v>
      </c>
      <c r="V3" s="78" t="s">
        <v>41</v>
      </c>
      <c r="W3" s="76" t="s">
        <v>6</v>
      </c>
      <c r="X3" s="77" t="s">
        <v>7</v>
      </c>
      <c r="Y3" s="78" t="s">
        <v>41</v>
      </c>
      <c r="Z3" s="76" t="s">
        <v>6</v>
      </c>
      <c r="AA3" s="77" t="s">
        <v>7</v>
      </c>
      <c r="AB3" s="78" t="s">
        <v>41</v>
      </c>
      <c r="AC3" s="76" t="s">
        <v>6</v>
      </c>
      <c r="AD3" s="77" t="s">
        <v>7</v>
      </c>
      <c r="AE3" s="78" t="s">
        <v>41</v>
      </c>
      <c r="AF3" s="76" t="s">
        <v>6</v>
      </c>
      <c r="AG3" s="77" t="s">
        <v>7</v>
      </c>
      <c r="AH3" s="78" t="s">
        <v>41</v>
      </c>
      <c r="AI3" s="76" t="s">
        <v>6</v>
      </c>
      <c r="AJ3" s="77" t="s">
        <v>7</v>
      </c>
      <c r="AK3" s="78" t="s">
        <v>41</v>
      </c>
      <c r="AL3" s="76" t="s">
        <v>6</v>
      </c>
      <c r="AM3" s="77" t="s">
        <v>7</v>
      </c>
      <c r="AN3" s="78" t="s">
        <v>41</v>
      </c>
      <c r="AO3" s="76" t="s">
        <v>6</v>
      </c>
      <c r="AP3" s="77" t="s">
        <v>7</v>
      </c>
      <c r="AQ3" s="78" t="s">
        <v>41</v>
      </c>
      <c r="AR3" s="76" t="s">
        <v>6</v>
      </c>
      <c r="AS3" s="77" t="s">
        <v>7</v>
      </c>
      <c r="AT3" s="78" t="s">
        <v>41</v>
      </c>
      <c r="AU3" s="76" t="s">
        <v>6</v>
      </c>
      <c r="AV3" s="77" t="s">
        <v>7</v>
      </c>
      <c r="AW3" s="78" t="s">
        <v>41</v>
      </c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</row>
    <row r="4" spans="1:67" s="17" customFormat="1" ht="20.100000000000001" customHeight="1" x14ac:dyDescent="0.2">
      <c r="A4" s="67" t="str">
        <f>'Team Selection'!B3</f>
        <v>Virgin Red</v>
      </c>
      <c r="B4" s="68" t="str">
        <f>'Stage Entry'!H4</f>
        <v>Matt Adams</v>
      </c>
      <c r="C4" s="69">
        <f>'Stage Entry'!I4</f>
        <v>8.9583333333333338E-3</v>
      </c>
      <c r="D4" s="70">
        <f t="shared" ref="D4" si="0">C4</f>
        <v>8.9583333333333338E-3</v>
      </c>
      <c r="E4" s="68" t="str">
        <f>'Stage Entry'!M4</f>
        <v>Beata Janetzki</v>
      </c>
      <c r="F4" s="69">
        <f>'Stage Entry'!N4</f>
        <v>9.7106481481481471E-3</v>
      </c>
      <c r="G4" s="70">
        <f t="shared" ref="G4" si="1">D4+F4</f>
        <v>1.8668981481481481E-2</v>
      </c>
      <c r="H4" s="68" t="str">
        <f>'Stage Entry'!R4</f>
        <v>Anna Locarnini</v>
      </c>
      <c r="I4" s="69">
        <f>'Stage Entry'!S4</f>
        <v>1.119212962962963E-2</v>
      </c>
      <c r="J4" s="70">
        <f t="shared" ref="J4" si="2">G4+I4</f>
        <v>2.9861111111111109E-2</v>
      </c>
      <c r="K4" s="68" t="str">
        <f>'Stage Entry'!W4</f>
        <v>Dion Finocchiaro</v>
      </c>
      <c r="L4" s="69">
        <f>'Stage Entry'!X4</f>
        <v>7.8009259259259256E-3</v>
      </c>
      <c r="M4" s="70">
        <f t="shared" ref="M4" si="3">J4+L4</f>
        <v>3.7662037037037036E-2</v>
      </c>
      <c r="N4" s="68" t="str">
        <f>'Stage Entry'!AB4</f>
        <v>Matt Adams</v>
      </c>
      <c r="O4" s="69">
        <f>'Stage Entry'!AC4</f>
        <v>1.2199074074074072E-2</v>
      </c>
      <c r="P4" s="70">
        <f t="shared" ref="P4" si="4">M4+O4</f>
        <v>4.9861111111111106E-2</v>
      </c>
      <c r="Q4" s="68" t="str">
        <f>'Stage Entry'!AG4</f>
        <v>Beata Janetzki</v>
      </c>
      <c r="R4" s="69">
        <f>'Stage Entry'!AH4</f>
        <v>1.1284722222222222E-2</v>
      </c>
      <c r="S4" s="70">
        <f t="shared" ref="S4" si="5">P4+R4</f>
        <v>6.114583333333333E-2</v>
      </c>
      <c r="T4" s="68" t="str">
        <f>'Stage Entry'!AL4</f>
        <v>Anna Locarnini</v>
      </c>
      <c r="U4" s="69">
        <f>'Stage Entry'!AM4</f>
        <v>8.7847222222222233E-3</v>
      </c>
      <c r="V4" s="70">
        <f t="shared" ref="V4" si="6">S4+U4</f>
        <v>6.9930555555555551E-2</v>
      </c>
      <c r="W4" s="68" t="str">
        <f>'Stage Entry'!AQ4</f>
        <v>Dion Finocchiaro</v>
      </c>
      <c r="X4" s="69">
        <f>'Stage Entry'!AR4</f>
        <v>1.3414351851851851E-2</v>
      </c>
      <c r="Y4" s="70">
        <f t="shared" ref="Y4" si="7">V4+X4</f>
        <v>8.3344907407407409E-2</v>
      </c>
      <c r="Z4" s="68" t="str">
        <f>'Stage Entry'!H15</f>
        <v>Anna Locarnini</v>
      </c>
      <c r="AA4" s="69">
        <f>'Stage Entry'!I15</f>
        <v>1.2951388888888887E-2</v>
      </c>
      <c r="AB4" s="70">
        <f t="shared" ref="AB4" si="8">Y4+AA4</f>
        <v>9.6296296296296297E-2</v>
      </c>
      <c r="AC4" s="68" t="str">
        <f>'Stage Entry'!M15</f>
        <v>Matt Adams</v>
      </c>
      <c r="AD4" s="69">
        <f>'Stage Entry'!N15</f>
        <v>1.1041666666666667E-2</v>
      </c>
      <c r="AE4" s="70">
        <f t="shared" ref="AE4" si="9">AB4+AD4</f>
        <v>0.10733796296296297</v>
      </c>
      <c r="AF4" s="68" t="str">
        <f>'Stage Entry'!R15</f>
        <v>Dion Finocchiaro</v>
      </c>
      <c r="AG4" s="69">
        <f>'Stage Entry'!S15</f>
        <v>1.2569444444444446E-2</v>
      </c>
      <c r="AH4" s="70">
        <f t="shared" ref="AH4" si="10">AE4+AG4</f>
        <v>0.11990740740740741</v>
      </c>
      <c r="AI4" s="68" t="str">
        <f>'Stage Entry'!W15</f>
        <v>Beata Janetzki</v>
      </c>
      <c r="AJ4" s="69">
        <f>'Stage Entry'!X15</f>
        <v>1.255787037037037E-2</v>
      </c>
      <c r="AK4" s="70">
        <f t="shared" ref="AK4" si="11">AH4+AJ4</f>
        <v>0.13246527777777778</v>
      </c>
      <c r="AL4" s="68" t="str">
        <f>'Stage Entry'!AB15</f>
        <v>Dion Finocchiaro</v>
      </c>
      <c r="AM4" s="69">
        <f>'Stage Entry'!AC15</f>
        <v>1.0960648148148148E-2</v>
      </c>
      <c r="AN4" s="70">
        <f t="shared" ref="AN4" si="12">AK4+AM4</f>
        <v>0.14342592592592593</v>
      </c>
      <c r="AO4" s="68" t="str">
        <f>'Stage Entry'!AG15</f>
        <v>Matt Adams</v>
      </c>
      <c r="AP4" s="69">
        <f>'Stage Entry'!AH15</f>
        <v>1.1273148148148148E-2</v>
      </c>
      <c r="AQ4" s="70">
        <f t="shared" ref="AQ4" si="13">AN4+AP4</f>
        <v>0.15469907407407407</v>
      </c>
      <c r="AR4" s="68" t="str">
        <f>'Stage Entry'!AL15</f>
        <v>Anna Locarnini</v>
      </c>
      <c r="AS4" s="69">
        <f>'Stage Entry'!AM15</f>
        <v>1.3680555555555555E-2</v>
      </c>
      <c r="AT4" s="70">
        <f t="shared" ref="AT4" si="14">AQ4+AS4</f>
        <v>0.16837962962962963</v>
      </c>
      <c r="AU4" s="68" t="str">
        <f>'Stage Entry'!AQ15</f>
        <v>Beata Janetzki</v>
      </c>
      <c r="AV4" s="69">
        <f>'Stage Entry'!AR15</f>
        <v>1.0266203703703703E-2</v>
      </c>
      <c r="AW4" s="70">
        <f t="shared" ref="AW4" si="15">AT4+AV4</f>
        <v>0.17864583333333334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</row>
    <row r="5" spans="1:67" s="17" customFormat="1" ht="20.100000000000001" customHeight="1" x14ac:dyDescent="0.2">
      <c r="A5" s="67" t="str">
        <f>'Team Selection'!B4</f>
        <v>The Golden Bum-Taps</v>
      </c>
      <c r="B5" s="68" t="str">
        <f>'Stage Entry'!H5</f>
        <v>Shane Fielding</v>
      </c>
      <c r="C5" s="69">
        <f>'Stage Entry'!I5</f>
        <v>9.571759259259259E-3</v>
      </c>
      <c r="D5" s="70">
        <f t="shared" ref="D5:D11" si="16">C5</f>
        <v>9.571759259259259E-3</v>
      </c>
      <c r="E5" s="68" t="str">
        <f>'Stage Entry'!M5</f>
        <v>Scott Stacey</v>
      </c>
      <c r="F5" s="69">
        <f>'Stage Entry'!N5</f>
        <v>8.7962962962962968E-3</v>
      </c>
      <c r="G5" s="70">
        <f t="shared" ref="G5:G11" si="17">D5+F5</f>
        <v>1.8368055555555554E-2</v>
      </c>
      <c r="H5" s="68" t="str">
        <f>'Stage Entry'!R5</f>
        <v>Hugh Hunter</v>
      </c>
      <c r="I5" s="69">
        <f>'Stage Entry'!S5</f>
        <v>1.1875000000000002E-2</v>
      </c>
      <c r="J5" s="70">
        <f t="shared" ref="J5:J11" si="18">G5+I5</f>
        <v>3.0243055555555558E-2</v>
      </c>
      <c r="K5" s="68" t="str">
        <f>'Stage Entry'!W5</f>
        <v>Tait Ovens</v>
      </c>
      <c r="L5" s="69">
        <f>'Stage Entry'!X5</f>
        <v>8.4143518518518517E-3</v>
      </c>
      <c r="M5" s="70">
        <f t="shared" ref="M5:M11" si="19">J5+L5</f>
        <v>3.8657407407407411E-2</v>
      </c>
      <c r="N5" s="68" t="str">
        <f>'Stage Entry'!AB5</f>
        <v>Shane Fielding</v>
      </c>
      <c r="O5" s="69">
        <f>'Stage Entry'!AC5</f>
        <v>1.2465277777777777E-2</v>
      </c>
      <c r="P5" s="70">
        <f t="shared" ref="P5:P11" si="20">M5+O5</f>
        <v>5.1122685185185188E-2</v>
      </c>
      <c r="Q5" s="68" t="str">
        <f>'Stage Entry'!AG5</f>
        <v>Scott Stacey</v>
      </c>
      <c r="R5" s="69">
        <f>'Stage Entry'!AH5</f>
        <v>1.019675925925926E-2</v>
      </c>
      <c r="S5" s="70">
        <f t="shared" ref="S5:S11" si="21">P5+R5</f>
        <v>6.1319444444444447E-2</v>
      </c>
      <c r="T5" s="68" t="str">
        <f>'Stage Entry'!AL5</f>
        <v>Hugh Hunter</v>
      </c>
      <c r="U5" s="69">
        <f>'Stage Entry'!AM5</f>
        <v>9.5601851851851855E-3</v>
      </c>
      <c r="V5" s="70">
        <f t="shared" ref="V5:V11" si="22">S5+U5</f>
        <v>7.0879629629629626E-2</v>
      </c>
      <c r="W5" s="68" t="str">
        <f>'Stage Entry'!AQ5</f>
        <v>Tait Ovens</v>
      </c>
      <c r="X5" s="69">
        <f>'Stage Entry'!AR5</f>
        <v>1.3171296296296294E-2</v>
      </c>
      <c r="Y5" s="70">
        <f t="shared" ref="Y5:Y11" si="23">V5+X5</f>
        <v>8.4050925925925918E-2</v>
      </c>
      <c r="Z5" s="68" t="str">
        <f>'Stage Entry'!H16</f>
        <v>Shane Fielding</v>
      </c>
      <c r="AA5" s="69">
        <f>'Stage Entry'!I16</f>
        <v>1.1319444444444444E-2</v>
      </c>
      <c r="AB5" s="70">
        <f t="shared" ref="AB5:AB11" si="24">Y5+AA5</f>
        <v>9.5370370370370355E-2</v>
      </c>
      <c r="AC5" s="68" t="str">
        <f>'Stage Entry'!M16</f>
        <v>Hugh Hunter</v>
      </c>
      <c r="AD5" s="69">
        <f>'Stage Entry'!N16</f>
        <v>1.4374999999999999E-2</v>
      </c>
      <c r="AE5" s="70">
        <f t="shared" ref="AE5:AE11" si="25">AB5+AD5</f>
        <v>0.10974537037037035</v>
      </c>
      <c r="AF5" s="68" t="str">
        <f>'Stage Entry'!R16</f>
        <v>Tait Ovens</v>
      </c>
      <c r="AG5" s="69">
        <f>'Stage Entry'!S16</f>
        <v>1.3506944444444445E-2</v>
      </c>
      <c r="AH5" s="70">
        <f t="shared" ref="AH5:AH11" si="26">AE5+AG5</f>
        <v>0.1232523148148148</v>
      </c>
      <c r="AI5" s="68" t="str">
        <f>'Stage Entry'!W16</f>
        <v>Scott Stacey</v>
      </c>
      <c r="AJ5" s="69">
        <f>'Stage Entry'!X16</f>
        <v>1.1157407407407408E-2</v>
      </c>
      <c r="AK5" s="70">
        <f t="shared" ref="AK5:AK11" si="27">AH5+AJ5</f>
        <v>0.13440972222222219</v>
      </c>
      <c r="AL5" s="68" t="str">
        <f>'Stage Entry'!AB16</f>
        <v>Tait Ovens</v>
      </c>
      <c r="AM5" s="69">
        <f>'Stage Entry'!AC16</f>
        <v>1.1759259259259259E-2</v>
      </c>
      <c r="AN5" s="70">
        <f t="shared" ref="AN5:AN11" si="28">AK5+AM5</f>
        <v>0.14616898148148144</v>
      </c>
      <c r="AO5" s="68" t="str">
        <f>'Stage Entry'!AG16</f>
        <v>Shane Fielding</v>
      </c>
      <c r="AP5" s="69">
        <f>'Stage Entry'!AH16</f>
        <v>1.1307870370370371E-2</v>
      </c>
      <c r="AQ5" s="70">
        <f t="shared" ref="AQ5:AQ11" si="29">AN5+AP5</f>
        <v>0.15747685185185181</v>
      </c>
      <c r="AR5" s="68" t="str">
        <f>'Stage Entry'!AL16</f>
        <v>Scott Stacey</v>
      </c>
      <c r="AS5" s="69">
        <f>'Stage Entry'!AM16</f>
        <v>1.0717592592592593E-2</v>
      </c>
      <c r="AT5" s="70">
        <f t="shared" ref="AT5:AT11" si="30">AQ5+AS5</f>
        <v>0.1681944444444444</v>
      </c>
      <c r="AU5" s="68" t="str">
        <f>'Stage Entry'!AQ16</f>
        <v>Hugh Hunter</v>
      </c>
      <c r="AV5" s="69">
        <f>'Stage Entry'!AR16</f>
        <v>1.2731481481481481E-2</v>
      </c>
      <c r="AW5" s="70">
        <f t="shared" ref="AW5:AW11" si="31">AT5+AV5</f>
        <v>0.18092592592592588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</row>
    <row r="6" spans="1:67" s="17" customFormat="1" ht="20.100000000000001" customHeight="1" x14ac:dyDescent="0.2">
      <c r="A6" s="67" t="str">
        <f>'Team Selection'!B5</f>
        <v>Boogie Days</v>
      </c>
      <c r="B6" s="68" t="str">
        <f>'Stage Entry'!H6</f>
        <v>Julie-Ann Undrill</v>
      </c>
      <c r="C6" s="69">
        <f>'Stage Entry'!I6</f>
        <v>1.0162037037037037E-2</v>
      </c>
      <c r="D6" s="70">
        <f t="shared" si="16"/>
        <v>1.0162037037037037E-2</v>
      </c>
      <c r="E6" s="68" t="str">
        <f>'Stage Entry'!M6</f>
        <v>Glenn Carroll</v>
      </c>
      <c r="F6" s="69">
        <f>'Stage Entry'!N6</f>
        <v>9.0393518518518522E-3</v>
      </c>
      <c r="G6" s="70">
        <f t="shared" si="17"/>
        <v>1.9201388888888889E-2</v>
      </c>
      <c r="H6" s="68" t="str">
        <f>'Stage Entry'!R6</f>
        <v>Mel Jansen</v>
      </c>
      <c r="I6" s="69">
        <f>'Stage Entry'!S6</f>
        <v>1.0439814814814813E-2</v>
      </c>
      <c r="J6" s="70">
        <f t="shared" si="18"/>
        <v>2.9641203703703704E-2</v>
      </c>
      <c r="K6" s="68" t="str">
        <f>'Stage Entry'!W6</f>
        <v>Darren Bowden</v>
      </c>
      <c r="L6" s="69">
        <f>'Stage Entry'!X6</f>
        <v>8.7847222222222233E-3</v>
      </c>
      <c r="M6" s="70">
        <f t="shared" si="19"/>
        <v>3.8425925925925926E-2</v>
      </c>
      <c r="N6" s="68" t="str">
        <f>'Stage Entry'!AB6</f>
        <v>Julie-Ann Undrill</v>
      </c>
      <c r="O6" s="69">
        <f>'Stage Entry'!AC6</f>
        <v>1.3032407407407407E-2</v>
      </c>
      <c r="P6" s="70">
        <f t="shared" si="20"/>
        <v>5.1458333333333335E-2</v>
      </c>
      <c r="Q6" s="68" t="str">
        <f>'Stage Entry'!AG6</f>
        <v>Glenn Carroll</v>
      </c>
      <c r="R6" s="69">
        <f>'Stage Entry'!AH6</f>
        <v>1.0474537037037037E-2</v>
      </c>
      <c r="S6" s="70">
        <f t="shared" si="21"/>
        <v>6.1932870370370374E-2</v>
      </c>
      <c r="T6" s="68" t="str">
        <f>'Stage Entry'!AL6</f>
        <v>Mel Jansen</v>
      </c>
      <c r="U6" s="69">
        <f>'Stage Entry'!AM6</f>
        <v>8.0555555555555554E-3</v>
      </c>
      <c r="V6" s="70">
        <f t="shared" si="22"/>
        <v>6.9988425925925926E-2</v>
      </c>
      <c r="W6" s="68" t="str">
        <f>'Stage Entry'!AQ6</f>
        <v>Darren Bowden</v>
      </c>
      <c r="X6" s="69">
        <f>'Stage Entry'!AR6</f>
        <v>1.3715277777777778E-2</v>
      </c>
      <c r="Y6" s="70">
        <f t="shared" si="23"/>
        <v>8.3703703703703697E-2</v>
      </c>
      <c r="Z6" s="68" t="str">
        <f>'Stage Entry'!H17</f>
        <v>Julie-Ann Undrill</v>
      </c>
      <c r="AA6" s="69">
        <f>'Stage Entry'!I17</f>
        <v>1.1863425925925925E-2</v>
      </c>
      <c r="AB6" s="70">
        <f t="shared" si="24"/>
        <v>9.5567129629629627E-2</v>
      </c>
      <c r="AC6" s="68" t="str">
        <f>'Stage Entry'!M17</f>
        <v>Glenn Carroll</v>
      </c>
      <c r="AD6" s="69">
        <f>'Stage Entry'!N17</f>
        <v>1.0717592592592593E-2</v>
      </c>
      <c r="AE6" s="70">
        <f t="shared" si="25"/>
        <v>0.10628472222222222</v>
      </c>
      <c r="AF6" s="68" t="str">
        <f>'Stage Entry'!R17</f>
        <v>Darren Bowden</v>
      </c>
      <c r="AG6" s="69">
        <f>'Stage Entry'!S17</f>
        <v>1.4837962962962963E-2</v>
      </c>
      <c r="AH6" s="70">
        <f t="shared" si="26"/>
        <v>0.12112268518518518</v>
      </c>
      <c r="AI6" s="68" t="str">
        <f>'Stage Entry'!W17</f>
        <v>Mel Jansen</v>
      </c>
      <c r="AJ6" s="69">
        <f>'Stage Entry'!X17</f>
        <v>1.34375E-2</v>
      </c>
      <c r="AK6" s="70">
        <f t="shared" si="27"/>
        <v>0.13456018518518517</v>
      </c>
      <c r="AL6" s="68" t="str">
        <f>'Stage Entry'!AB17</f>
        <v>Glenn Carroll</v>
      </c>
      <c r="AM6" s="69">
        <f>'Stage Entry'!AC17</f>
        <v>1.2731481481481481E-2</v>
      </c>
      <c r="AN6" s="70">
        <f t="shared" si="28"/>
        <v>0.14729166666666665</v>
      </c>
      <c r="AO6" s="68" t="str">
        <f>'Stage Entry'!AG17</f>
        <v>Julie-Ann Undrill</v>
      </c>
      <c r="AP6" s="69">
        <f>'Stage Entry'!AH17</f>
        <v>1.252314814814815E-2</v>
      </c>
      <c r="AQ6" s="70">
        <f t="shared" si="29"/>
        <v>0.1598148148148148</v>
      </c>
      <c r="AR6" s="68" t="str">
        <f>'Stage Entry'!AL17</f>
        <v>Darren Bowden</v>
      </c>
      <c r="AS6" s="69">
        <f>'Stage Entry'!AM17</f>
        <v>1.0173611111111111E-2</v>
      </c>
      <c r="AT6" s="70">
        <f t="shared" si="30"/>
        <v>0.16998842592592592</v>
      </c>
      <c r="AU6" s="68" t="str">
        <f>'Stage Entry'!AQ17</f>
        <v>Mel Jansen</v>
      </c>
      <c r="AV6" s="69">
        <f>'Stage Entry'!AR17</f>
        <v>1.1076388888888887E-2</v>
      </c>
      <c r="AW6" s="70">
        <f t="shared" si="31"/>
        <v>0.18106481481481482</v>
      </c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</row>
    <row r="7" spans="1:67" s="17" customFormat="1" ht="20.100000000000001" customHeight="1" x14ac:dyDescent="0.2">
      <c r="A7" s="67" t="str">
        <f>'Team Selection'!B6</f>
        <v>From Dr Tu Undertaker</v>
      </c>
      <c r="B7" s="68" t="str">
        <f>'Stage Entry'!H7</f>
        <v>Thai Phan</v>
      </c>
      <c r="C7" s="69">
        <f>'Stage Entry'!I7</f>
        <v>9.3171296296296283E-3</v>
      </c>
      <c r="D7" s="70">
        <f t="shared" si="16"/>
        <v>9.3171296296296283E-3</v>
      </c>
      <c r="E7" s="68" t="str">
        <f>'Stage Entry'!M7</f>
        <v>Chris Wright</v>
      </c>
      <c r="F7" s="69">
        <f>'Stage Entry'!N7</f>
        <v>8.9814814814814809E-3</v>
      </c>
      <c r="G7" s="70">
        <f t="shared" si="17"/>
        <v>1.8298611111111109E-2</v>
      </c>
      <c r="H7" s="68" t="str">
        <f>'Stage Entry'!R7</f>
        <v>Nick Tobin</v>
      </c>
      <c r="I7" s="69">
        <f>'Stage Entry'!S7</f>
        <v>1.0208333333333333E-2</v>
      </c>
      <c r="J7" s="70">
        <f t="shared" si="18"/>
        <v>2.8506944444444442E-2</v>
      </c>
      <c r="K7" s="68" t="str">
        <f>'Stage Entry'!W7</f>
        <v>Simon Tu</v>
      </c>
      <c r="L7" s="69">
        <f>'Stage Entry'!X7</f>
        <v>8.6342592592592599E-3</v>
      </c>
      <c r="M7" s="70">
        <f t="shared" si="19"/>
        <v>3.7141203703703704E-2</v>
      </c>
      <c r="N7" s="68" t="str">
        <f>'Stage Entry'!AB7</f>
        <v>Thai Phan</v>
      </c>
      <c r="O7" s="69">
        <f>'Stage Entry'!AC7</f>
        <v>1.1932870370370371E-2</v>
      </c>
      <c r="P7" s="70">
        <f t="shared" si="20"/>
        <v>4.9074074074074076E-2</v>
      </c>
      <c r="Q7" s="68" t="str">
        <f>'Stage Entry'!AG7</f>
        <v>Chris Wright</v>
      </c>
      <c r="R7" s="69">
        <f>'Stage Entry'!AH7</f>
        <v>1.1030092592592591E-2</v>
      </c>
      <c r="S7" s="70">
        <f t="shared" si="21"/>
        <v>6.0104166666666667E-2</v>
      </c>
      <c r="T7" s="68" t="str">
        <f>'Stage Entry'!AL7</f>
        <v>Nick Tobin</v>
      </c>
      <c r="U7" s="69">
        <f>'Stage Entry'!AM7</f>
        <v>7.9976851851851858E-3</v>
      </c>
      <c r="V7" s="70">
        <f t="shared" si="22"/>
        <v>6.8101851851851858E-2</v>
      </c>
      <c r="W7" s="68" t="str">
        <f>'Stage Entry'!AQ7</f>
        <v>Simon Tu</v>
      </c>
      <c r="X7" s="69">
        <f>'Stage Entry'!AR7</f>
        <v>1.5023148148148148E-2</v>
      </c>
      <c r="Y7" s="70">
        <f t="shared" si="23"/>
        <v>8.3125000000000004E-2</v>
      </c>
      <c r="Z7" s="68" t="str">
        <f>'Stage Entry'!H18</f>
        <v>Thai Phan</v>
      </c>
      <c r="AA7" s="69">
        <f>'Stage Entry'!I18</f>
        <v>1.0833333333333334E-2</v>
      </c>
      <c r="AB7" s="70">
        <f t="shared" si="24"/>
        <v>9.3958333333333338E-2</v>
      </c>
      <c r="AC7" s="68" t="str">
        <f>'Stage Entry'!M18</f>
        <v>Nick Tobin</v>
      </c>
      <c r="AD7" s="69">
        <f>'Stage Entry'!N18</f>
        <v>1.2708333333333334E-2</v>
      </c>
      <c r="AE7" s="70">
        <f t="shared" si="25"/>
        <v>0.10666666666666667</v>
      </c>
      <c r="AF7" s="68" t="str">
        <f>'Stage Entry'!R18</f>
        <v>Simon Tu</v>
      </c>
      <c r="AG7" s="69">
        <f>'Stage Entry'!S18</f>
        <v>1.40625E-2</v>
      </c>
      <c r="AH7" s="70">
        <f t="shared" si="26"/>
        <v>0.12072916666666668</v>
      </c>
      <c r="AI7" s="68" t="str">
        <f>'Stage Entry'!W18</f>
        <v>Chris Wright</v>
      </c>
      <c r="AJ7" s="69">
        <f>'Stage Entry'!X18</f>
        <v>1.1678240740740741E-2</v>
      </c>
      <c r="AK7" s="70">
        <f t="shared" si="27"/>
        <v>0.13240740740740742</v>
      </c>
      <c r="AL7" s="68" t="str">
        <f>'Stage Entry'!AB18</f>
        <v>Simon Tu</v>
      </c>
      <c r="AM7" s="69">
        <f>'Stage Entry'!AC18</f>
        <v>1.207175925925926E-2</v>
      </c>
      <c r="AN7" s="70">
        <f t="shared" si="28"/>
        <v>0.14447916666666669</v>
      </c>
      <c r="AO7" s="68" t="str">
        <f>'Stage Entry'!AG18</f>
        <v>Thai Phan</v>
      </c>
      <c r="AP7" s="69">
        <f>'Stage Entry'!AH18</f>
        <v>1.1331018518518518E-2</v>
      </c>
      <c r="AQ7" s="70">
        <f t="shared" si="29"/>
        <v>0.15581018518518519</v>
      </c>
      <c r="AR7" s="68" t="str">
        <f>'Stage Entry'!AL18</f>
        <v>Chris Wright</v>
      </c>
      <c r="AS7" s="69">
        <f>'Stage Entry'!AM18</f>
        <v>1.1481481481481483E-2</v>
      </c>
      <c r="AT7" s="70">
        <f t="shared" si="30"/>
        <v>0.16729166666666667</v>
      </c>
      <c r="AU7" s="68" t="str">
        <f>'Stage Entry'!AQ18</f>
        <v>Nick Tobin</v>
      </c>
      <c r="AV7" s="69">
        <f>'Stage Entry'!AR18</f>
        <v>1.1388888888888888E-2</v>
      </c>
      <c r="AW7" s="70">
        <f t="shared" si="31"/>
        <v>0.17868055555555556</v>
      </c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</row>
    <row r="8" spans="1:67" s="17" customFormat="1" ht="20.100000000000001" customHeight="1" x14ac:dyDescent="0.2">
      <c r="A8" s="67" t="str">
        <f>'Team Selection'!B7</f>
        <v>3 Captains and Duff</v>
      </c>
      <c r="B8" s="68" t="str">
        <f>'Stage Entry'!H8</f>
        <v>Anthony Mithen</v>
      </c>
      <c r="C8" s="69">
        <f>'Stage Entry'!I8</f>
        <v>9.4560185185185181E-3</v>
      </c>
      <c r="D8" s="70">
        <f t="shared" si="16"/>
        <v>9.4560185185185181E-3</v>
      </c>
      <c r="E8" s="68" t="str">
        <f>'Stage Entry'!M8</f>
        <v>Garth Calder</v>
      </c>
      <c r="F8" s="69">
        <f>'Stage Entry'!N8</f>
        <v>9.3981481481481485E-3</v>
      </c>
      <c r="G8" s="70">
        <f t="shared" si="17"/>
        <v>1.8854166666666665E-2</v>
      </c>
      <c r="H8" s="68" t="str">
        <f>'Stage Entry'!R8</f>
        <v>Luke Pengelly</v>
      </c>
      <c r="I8" s="69">
        <f>'Stage Entry'!S8</f>
        <v>1.0613425925925927E-2</v>
      </c>
      <c r="J8" s="70">
        <f t="shared" si="18"/>
        <v>2.9467592592592594E-2</v>
      </c>
      <c r="K8" s="68" t="str">
        <f>'Stage Entry'!W8</f>
        <v>David Hartley</v>
      </c>
      <c r="L8" s="69">
        <f>'Stage Entry'!X8</f>
        <v>8.9236111111111113E-3</v>
      </c>
      <c r="M8" s="70">
        <f t="shared" si="19"/>
        <v>3.8391203703703705E-2</v>
      </c>
      <c r="N8" s="68" t="str">
        <f>'Stage Entry'!AB8</f>
        <v>Anthony Mithen</v>
      </c>
      <c r="O8" s="69">
        <f>'Stage Entry'!AC8</f>
        <v>1.2280092592592592E-2</v>
      </c>
      <c r="P8" s="70">
        <f t="shared" si="20"/>
        <v>5.0671296296296298E-2</v>
      </c>
      <c r="Q8" s="68" t="str">
        <f>'Stage Entry'!AG8</f>
        <v>Garth Calder</v>
      </c>
      <c r="R8" s="69">
        <f>'Stage Entry'!AH8</f>
        <v>1.1157407407407408E-2</v>
      </c>
      <c r="S8" s="70">
        <f t="shared" si="21"/>
        <v>6.1828703703703705E-2</v>
      </c>
      <c r="T8" s="68" t="str">
        <f>'Stage Entry'!AL8</f>
        <v>Luke Pengelly</v>
      </c>
      <c r="U8" s="69">
        <f>'Stage Entry'!AM8</f>
        <v>8.4027777777777781E-3</v>
      </c>
      <c r="V8" s="70">
        <f t="shared" si="22"/>
        <v>7.0231481481481478E-2</v>
      </c>
      <c r="W8" s="68" t="str">
        <f>'Stage Entry'!AQ8</f>
        <v>David Hartley</v>
      </c>
      <c r="X8" s="69">
        <f>'Stage Entry'!AR8</f>
        <v>1.3425925925925924E-2</v>
      </c>
      <c r="Y8" s="70">
        <f t="shared" si="23"/>
        <v>8.3657407407407403E-2</v>
      </c>
      <c r="Z8" s="68" t="str">
        <f>'Stage Entry'!H19</f>
        <v>Anthony Mithen</v>
      </c>
      <c r="AA8" s="69">
        <f>'Stage Entry'!I19</f>
        <v>1.1099537037037038E-2</v>
      </c>
      <c r="AB8" s="70">
        <f t="shared" si="24"/>
        <v>9.4756944444444435E-2</v>
      </c>
      <c r="AC8" s="68" t="str">
        <f>'Stage Entry'!M19</f>
        <v>Luke Pengelly</v>
      </c>
      <c r="AD8" s="69">
        <f>'Stage Entry'!N19</f>
        <v>1.2141203703703704E-2</v>
      </c>
      <c r="AE8" s="70">
        <f t="shared" si="25"/>
        <v>0.10689814814814814</v>
      </c>
      <c r="AF8" s="68" t="str">
        <f>'Stage Entry'!R19</f>
        <v>David Hartley</v>
      </c>
      <c r="AG8" s="69">
        <f>'Stage Entry'!S19</f>
        <v>1.4120370370370368E-2</v>
      </c>
      <c r="AH8" s="70">
        <f t="shared" si="26"/>
        <v>0.12101851851851851</v>
      </c>
      <c r="AI8" s="68" t="str">
        <f>'Stage Entry'!W19</f>
        <v>Garth Calder</v>
      </c>
      <c r="AJ8" s="69">
        <f>'Stage Entry'!X19</f>
        <v>1.1956018518518517E-2</v>
      </c>
      <c r="AK8" s="70">
        <f t="shared" si="27"/>
        <v>0.13297453703703702</v>
      </c>
      <c r="AL8" s="68" t="str">
        <f>'Stage Entry'!AB19</f>
        <v>David Hartley</v>
      </c>
      <c r="AM8" s="69">
        <f>'Stage Entry'!AC19</f>
        <v>1.2395833333333335E-2</v>
      </c>
      <c r="AN8" s="70">
        <f t="shared" si="28"/>
        <v>0.14537037037037034</v>
      </c>
      <c r="AO8" s="68" t="str">
        <f>'Stage Entry'!AG19</f>
        <v>Anthony Mithen</v>
      </c>
      <c r="AP8" s="69">
        <f>'Stage Entry'!AH19</f>
        <v>1.1724537037037035E-2</v>
      </c>
      <c r="AQ8" s="70">
        <f t="shared" si="29"/>
        <v>0.15709490740740739</v>
      </c>
      <c r="AR8" s="68" t="str">
        <f>'Stage Entry'!AL19</f>
        <v>Garth Calder</v>
      </c>
      <c r="AS8" s="69">
        <f>'Stage Entry'!AM19</f>
        <v>1.1423611111111112E-2</v>
      </c>
      <c r="AT8" s="70">
        <f t="shared" si="30"/>
        <v>0.16851851851851851</v>
      </c>
      <c r="AU8" s="68" t="str">
        <f>'Stage Entry'!AQ19</f>
        <v>Luke Pengelly</v>
      </c>
      <c r="AV8" s="69">
        <f>'Stage Entry'!AR19</f>
        <v>1.1006944444444444E-2</v>
      </c>
      <c r="AW8" s="70">
        <f t="shared" si="31"/>
        <v>0.17952546296296296</v>
      </c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</row>
    <row r="9" spans="1:67" s="17" customFormat="1" ht="20.100000000000001" customHeight="1" x14ac:dyDescent="0.2">
      <c r="A9" s="67" t="str">
        <f>'Team Selection'!B8</f>
        <v>Shattered and Sun Burnt</v>
      </c>
      <c r="B9" s="68" t="str">
        <f>'Stage Entry'!H9</f>
        <v>James Howe</v>
      </c>
      <c r="C9" s="69">
        <f>'Stage Entry'!I9</f>
        <v>9.1203703703703707E-3</v>
      </c>
      <c r="D9" s="70">
        <f t="shared" si="16"/>
        <v>9.1203703703703707E-3</v>
      </c>
      <c r="E9" s="68" t="str">
        <f>'Stage Entry'!M9</f>
        <v>Brenton Norman</v>
      </c>
      <c r="F9" s="69">
        <f>'Stage Entry'!N9</f>
        <v>9.6874999999999999E-3</v>
      </c>
      <c r="G9" s="70">
        <f t="shared" si="17"/>
        <v>1.8807870370370371E-2</v>
      </c>
      <c r="H9" s="68" t="str">
        <f>'Stage Entry'!R9</f>
        <v>Martin Fry</v>
      </c>
      <c r="I9" s="69">
        <f>'Stage Entry'!S9</f>
        <v>1.0787037037037038E-2</v>
      </c>
      <c r="J9" s="70">
        <f t="shared" si="18"/>
        <v>2.959490740740741E-2</v>
      </c>
      <c r="K9" s="68" t="str">
        <f>'Stage Entry'!W9</f>
        <v>David Alcock</v>
      </c>
      <c r="L9" s="69">
        <f>'Stage Entry'!X9</f>
        <v>8.9930555555555545E-3</v>
      </c>
      <c r="M9" s="70">
        <f t="shared" si="19"/>
        <v>3.8587962962962963E-2</v>
      </c>
      <c r="N9" s="68" t="str">
        <f>'Stage Entry'!AB9</f>
        <v>James Howe</v>
      </c>
      <c r="O9" s="69">
        <f>'Stage Entry'!AC9</f>
        <v>1.2106481481481482E-2</v>
      </c>
      <c r="P9" s="70">
        <f t="shared" si="20"/>
        <v>5.0694444444444445E-2</v>
      </c>
      <c r="Q9" s="68" t="str">
        <f>'Stage Entry'!AG9</f>
        <v>Brenton Norman</v>
      </c>
      <c r="R9" s="69">
        <f>'Stage Entry'!AH9</f>
        <v>1.1261574074074071E-2</v>
      </c>
      <c r="S9" s="70">
        <f t="shared" si="21"/>
        <v>6.1956018518518514E-2</v>
      </c>
      <c r="T9" s="68" t="str">
        <f>'Stage Entry'!AL9</f>
        <v>Martin Fry</v>
      </c>
      <c r="U9" s="69">
        <f>'Stage Entry'!AM9</f>
        <v>8.217592592592594E-3</v>
      </c>
      <c r="V9" s="70">
        <f t="shared" si="22"/>
        <v>7.0173611111111103E-2</v>
      </c>
      <c r="W9" s="68" t="str">
        <f>'Stage Entry'!AQ9</f>
        <v>David Alcock</v>
      </c>
      <c r="X9" s="69">
        <f>'Stage Entry'!AR9</f>
        <v>1.3622685185185184E-2</v>
      </c>
      <c r="Y9" s="70">
        <f t="shared" si="23"/>
        <v>8.3796296296296285E-2</v>
      </c>
      <c r="Z9" s="68" t="str">
        <f>'Stage Entry'!H20</f>
        <v>Martin Fry</v>
      </c>
      <c r="AA9" s="69">
        <f>'Stage Entry'!I20</f>
        <v>1.255787037037037E-2</v>
      </c>
      <c r="AB9" s="70">
        <f t="shared" si="24"/>
        <v>9.6354166666666657E-2</v>
      </c>
      <c r="AC9" s="68" t="str">
        <f>'Stage Entry'!M20</f>
        <v>James Howe</v>
      </c>
      <c r="AD9" s="69">
        <f>'Stage Entry'!N20</f>
        <v>1.113425925925926E-2</v>
      </c>
      <c r="AE9" s="70">
        <f t="shared" si="25"/>
        <v>0.10748842592592592</v>
      </c>
      <c r="AF9" s="68" t="str">
        <f>'Stage Entry'!R20</f>
        <v>David Alcock</v>
      </c>
      <c r="AG9" s="69">
        <f>'Stage Entry'!S20</f>
        <v>1.4120370370370368E-2</v>
      </c>
      <c r="AH9" s="70">
        <f t="shared" si="26"/>
        <v>0.12160879629629628</v>
      </c>
      <c r="AI9" s="68" t="str">
        <f>'Stage Entry'!W20</f>
        <v>Brenton Norman</v>
      </c>
      <c r="AJ9" s="69">
        <f>'Stage Entry'!X20</f>
        <v>1.2800925925925926E-2</v>
      </c>
      <c r="AK9" s="70">
        <f t="shared" si="27"/>
        <v>0.13440972222222222</v>
      </c>
      <c r="AL9" s="68" t="str">
        <f>'Stage Entry'!AB20</f>
        <v>James Howe</v>
      </c>
      <c r="AM9" s="69">
        <f>'Stage Entry'!AC20</f>
        <v>1.375E-2</v>
      </c>
      <c r="AN9" s="70">
        <f t="shared" si="28"/>
        <v>0.14815972222222223</v>
      </c>
      <c r="AO9" s="68" t="str">
        <f>'Stage Entry'!AG20</f>
        <v>Martin Fry</v>
      </c>
      <c r="AP9" s="69">
        <f>'Stage Entry'!AH20</f>
        <v>1.3321759259259261E-2</v>
      </c>
      <c r="AQ9" s="70">
        <f t="shared" si="29"/>
        <v>0.1614814814814815</v>
      </c>
      <c r="AR9" s="68" t="str">
        <f>'Stage Entry'!AL20</f>
        <v>David Alcock</v>
      </c>
      <c r="AS9" s="69">
        <f>'Stage Entry'!AM20</f>
        <v>1.0960648148148148E-2</v>
      </c>
      <c r="AT9" s="70">
        <f t="shared" si="30"/>
        <v>0.17244212962962965</v>
      </c>
      <c r="AU9" s="68" t="str">
        <f>'Stage Entry'!AQ20</f>
        <v>Brenton Norman</v>
      </c>
      <c r="AV9" s="69">
        <f>'Stage Entry'!AR20</f>
        <v>1.105324074074074E-2</v>
      </c>
      <c r="AW9" s="70">
        <f t="shared" si="31"/>
        <v>0.18349537037037039</v>
      </c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</row>
    <row r="10" spans="1:67" s="17" customFormat="1" ht="20.100000000000001" customHeight="1" x14ac:dyDescent="0.2">
      <c r="A10" s="67" t="str">
        <f>'Team Selection'!B9</f>
        <v>Chasing the View</v>
      </c>
      <c r="B10" s="68" t="str">
        <f>'Stage Entry'!H10</f>
        <v>Scott Smith</v>
      </c>
      <c r="C10" s="69">
        <f>'Stage Entry'!I10</f>
        <v>9.0509259259259258E-3</v>
      </c>
      <c r="D10" s="70">
        <f t="shared" si="16"/>
        <v>9.0509259259259258E-3</v>
      </c>
      <c r="E10" s="68" t="str">
        <f>'Stage Entry'!M10</f>
        <v>Andrew Pintar</v>
      </c>
      <c r="F10" s="69">
        <f>'Stage Entry'!N10</f>
        <v>9.3749999999999997E-3</v>
      </c>
      <c r="G10" s="70">
        <f t="shared" si="17"/>
        <v>1.8425925925925925E-2</v>
      </c>
      <c r="H10" s="68" t="str">
        <f>'Stage Entry'!R10</f>
        <v>Bao Hoang</v>
      </c>
      <c r="I10" s="69">
        <f>'Stage Entry'!S10</f>
        <v>1.0891203703703703E-2</v>
      </c>
      <c r="J10" s="70">
        <f t="shared" si="18"/>
        <v>2.931712962962963E-2</v>
      </c>
      <c r="K10" s="68" t="str">
        <f>'Stage Entry'!W10</f>
        <v>Daniel Hall</v>
      </c>
      <c r="L10" s="69">
        <f>'Stage Entry'!X10</f>
        <v>8.518518518518519E-3</v>
      </c>
      <c r="M10" s="70">
        <f t="shared" si="19"/>
        <v>3.7835648148148146E-2</v>
      </c>
      <c r="N10" s="68" t="str">
        <f>'Stage Entry'!AB10</f>
        <v>Scott Smith</v>
      </c>
      <c r="O10" s="69">
        <f>'Stage Entry'!AC10</f>
        <v>1.1759259259259259E-2</v>
      </c>
      <c r="P10" s="70">
        <f t="shared" si="20"/>
        <v>4.9594907407407407E-2</v>
      </c>
      <c r="Q10" s="68" t="str">
        <f>'Stage Entry'!AG10</f>
        <v>Andrew Pintar</v>
      </c>
      <c r="R10" s="69">
        <f>'Stage Entry'!AH10</f>
        <v>1.0567129629629629E-2</v>
      </c>
      <c r="S10" s="70">
        <f t="shared" si="21"/>
        <v>6.0162037037037035E-2</v>
      </c>
      <c r="T10" s="68" t="str">
        <f>'Stage Entry'!AL10</f>
        <v>Bao Hoang</v>
      </c>
      <c r="U10" s="69">
        <f>'Stage Entry'!AM10</f>
        <v>8.2986111111111108E-3</v>
      </c>
      <c r="V10" s="70">
        <f t="shared" si="22"/>
        <v>6.8460648148148145E-2</v>
      </c>
      <c r="W10" s="68" t="str">
        <f>'Stage Entry'!AQ10</f>
        <v>Daniel Hall</v>
      </c>
      <c r="X10" s="69">
        <f>'Stage Entry'!AR10</f>
        <v>1.4074074074074074E-2</v>
      </c>
      <c r="Y10" s="70">
        <f t="shared" si="23"/>
        <v>8.2534722222222218E-2</v>
      </c>
      <c r="Z10" s="68" t="str">
        <f>'Stage Entry'!H21</f>
        <v>Bao Hoang</v>
      </c>
      <c r="AA10" s="69">
        <f>'Stage Entry'!I21</f>
        <v>1.2916666666666667E-2</v>
      </c>
      <c r="AB10" s="70">
        <f t="shared" si="24"/>
        <v>9.5451388888888877E-2</v>
      </c>
      <c r="AC10" s="68" t="str">
        <f>'Stage Entry'!M21</f>
        <v>Scott Smith</v>
      </c>
      <c r="AD10" s="69">
        <f>'Stage Entry'!N21</f>
        <v>1.0729166666666666E-2</v>
      </c>
      <c r="AE10" s="70">
        <f t="shared" si="25"/>
        <v>0.10618055555555554</v>
      </c>
      <c r="AF10" s="68" t="str">
        <f>'Stage Entry'!R21</f>
        <v>Daniel Hall</v>
      </c>
      <c r="AG10" s="69">
        <f>'Stage Entry'!S21</f>
        <v>1.3993055555555555E-2</v>
      </c>
      <c r="AH10" s="70">
        <f t="shared" si="26"/>
        <v>0.12017361111111109</v>
      </c>
      <c r="AI10" s="68" t="str">
        <f>'Stage Entry'!W21</f>
        <v>Andrew Pintar</v>
      </c>
      <c r="AJ10" s="69">
        <f>'Stage Entry'!X21</f>
        <v>1.1944444444444445E-2</v>
      </c>
      <c r="AK10" s="70">
        <f t="shared" si="27"/>
        <v>0.13211805555555553</v>
      </c>
      <c r="AL10" s="68" t="str">
        <f>'Stage Entry'!AB21</f>
        <v>Daniel Hall</v>
      </c>
      <c r="AM10" s="69">
        <f>'Stage Entry'!AC21</f>
        <v>1.2164351851851852E-2</v>
      </c>
      <c r="AN10" s="70">
        <f t="shared" si="28"/>
        <v>0.14428240740740739</v>
      </c>
      <c r="AO10" s="68" t="str">
        <f>'Stage Entry'!AG21</f>
        <v>Bao Hoang</v>
      </c>
      <c r="AP10" s="69">
        <f>'Stage Entry'!AH21</f>
        <v>1.3460648148148147E-2</v>
      </c>
      <c r="AQ10" s="70">
        <f t="shared" si="29"/>
        <v>0.15774305555555554</v>
      </c>
      <c r="AR10" s="68" t="str">
        <f>'Stage Entry'!AL21</f>
        <v>Andrew Pintar</v>
      </c>
      <c r="AS10" s="69">
        <f>'Stage Entry'!AM21</f>
        <v>1.1354166666666667E-2</v>
      </c>
      <c r="AT10" s="70">
        <f t="shared" si="30"/>
        <v>0.1690972222222222</v>
      </c>
      <c r="AU10" s="68" t="str">
        <f>'Stage Entry'!AQ21</f>
        <v>Scott Smith</v>
      </c>
      <c r="AV10" s="69">
        <f>'Stage Entry'!AR21</f>
        <v>9.6412037037037039E-3</v>
      </c>
      <c r="AW10" s="70">
        <f t="shared" si="31"/>
        <v>0.1787384259259259</v>
      </c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</row>
    <row r="11" spans="1:67" s="17" customFormat="1" ht="20.100000000000001" customHeight="1" x14ac:dyDescent="0.2">
      <c r="A11" s="67" t="str">
        <f>'Team Selection'!B10</f>
        <v>Greener Pastures</v>
      </c>
      <c r="B11" s="68" t="str">
        <f>'Stage Entry'!H11</f>
        <v>Richard Does</v>
      </c>
      <c r="C11" s="69">
        <f>'Stage Entry'!I11</f>
        <v>9.0162037037037034E-3</v>
      </c>
      <c r="D11" s="70">
        <f t="shared" si="16"/>
        <v>9.0162037037037034E-3</v>
      </c>
      <c r="E11" s="68" t="str">
        <f>'Stage Entry'!M11</f>
        <v>Chris Wade</v>
      </c>
      <c r="F11" s="69">
        <f>'Stage Entry'!N11</f>
        <v>9.6874999999999999E-3</v>
      </c>
      <c r="G11" s="70">
        <f t="shared" si="17"/>
        <v>1.8703703703703702E-2</v>
      </c>
      <c r="H11" s="68" t="str">
        <f>'Stage Entry'!R11</f>
        <v>Dale Nardella</v>
      </c>
      <c r="I11" s="69">
        <f>'Stage Entry'!S11</f>
        <v>9.7685185185185184E-3</v>
      </c>
      <c r="J11" s="70">
        <f t="shared" si="18"/>
        <v>2.8472222222222218E-2</v>
      </c>
      <c r="K11" s="68" t="str">
        <f>'Stage Entry'!W11</f>
        <v>Tony Langelaan</v>
      </c>
      <c r="L11" s="69">
        <f>'Stage Entry'!X11</f>
        <v>8.8541666666666664E-3</v>
      </c>
      <c r="M11" s="70">
        <f t="shared" si="19"/>
        <v>3.7326388888888881E-2</v>
      </c>
      <c r="N11" s="68" t="str">
        <f>'Stage Entry'!AB11</f>
        <v>Richard Does</v>
      </c>
      <c r="O11" s="69">
        <f>'Stage Entry'!AC11</f>
        <v>1.1886574074074075E-2</v>
      </c>
      <c r="P11" s="70">
        <f t="shared" si="20"/>
        <v>4.9212962962962958E-2</v>
      </c>
      <c r="Q11" s="68" t="str">
        <f>'Stage Entry'!AG11</f>
        <v>Chris Wade</v>
      </c>
      <c r="R11" s="69">
        <f>'Stage Entry'!AH11</f>
        <v>1.1284722222222222E-2</v>
      </c>
      <c r="S11" s="70">
        <f t="shared" si="21"/>
        <v>6.0497685185185182E-2</v>
      </c>
      <c r="T11" s="68" t="str">
        <f>'Stage Entry'!AL11</f>
        <v>Dale Nardella</v>
      </c>
      <c r="U11" s="69">
        <f>'Stage Entry'!AM11</f>
        <v>7.7314814814814815E-3</v>
      </c>
      <c r="V11" s="70">
        <f t="shared" si="22"/>
        <v>6.822916666666666E-2</v>
      </c>
      <c r="W11" s="68" t="str">
        <f>'Stage Entry'!AQ11</f>
        <v>Tony Langelaan</v>
      </c>
      <c r="X11" s="69">
        <f>'Stage Entry'!AR11</f>
        <v>1.4652777777777778E-2</v>
      </c>
      <c r="Y11" s="70">
        <f t="shared" si="23"/>
        <v>8.2881944444444439E-2</v>
      </c>
      <c r="Z11" s="68" t="str">
        <f>'Stage Entry'!H22</f>
        <v>Chris Wade</v>
      </c>
      <c r="AA11" s="69">
        <f>'Stage Entry'!I22</f>
        <v>1.1516203703703702E-2</v>
      </c>
      <c r="AB11" s="70">
        <f t="shared" si="24"/>
        <v>9.4398148148148148E-2</v>
      </c>
      <c r="AC11" s="68" t="str">
        <f>'Stage Entry'!M22</f>
        <v>Dale Nardella</v>
      </c>
      <c r="AD11" s="69">
        <f>'Stage Entry'!N22</f>
        <v>1.1481481481481483E-2</v>
      </c>
      <c r="AE11" s="70">
        <f t="shared" si="25"/>
        <v>0.10587962962962963</v>
      </c>
      <c r="AF11" s="68" t="str">
        <f>'Stage Entry'!R22</f>
        <v>Tony Langelaan</v>
      </c>
      <c r="AG11" s="69">
        <f>'Stage Entry'!S22</f>
        <v>1.4768518518518519E-2</v>
      </c>
      <c r="AH11" s="70">
        <f t="shared" si="26"/>
        <v>0.12064814814814814</v>
      </c>
      <c r="AI11" s="68" t="str">
        <f>'Stage Entry'!W22</f>
        <v>Richard Does</v>
      </c>
      <c r="AJ11" s="69">
        <f>'Stage Entry'!X22</f>
        <v>1.1539351851851851E-2</v>
      </c>
      <c r="AK11" s="70">
        <f t="shared" si="27"/>
        <v>0.13218749999999999</v>
      </c>
      <c r="AL11" s="68" t="str">
        <f>'Stage Entry'!AB22</f>
        <v>Tony Langelaan</v>
      </c>
      <c r="AM11" s="69">
        <f>'Stage Entry'!AC22</f>
        <v>1.3113425925925926E-2</v>
      </c>
      <c r="AN11" s="70">
        <f t="shared" si="28"/>
        <v>0.14530092592592592</v>
      </c>
      <c r="AO11" s="68" t="str">
        <f>'Stage Entry'!AG22</f>
        <v>Chris Wade</v>
      </c>
      <c r="AP11" s="69">
        <f>'Stage Entry'!AH22</f>
        <v>1.1921296296296298E-2</v>
      </c>
      <c r="AQ11" s="70">
        <f t="shared" si="29"/>
        <v>0.15722222222222221</v>
      </c>
      <c r="AR11" s="68" t="str">
        <f>'Stage Entry'!AL22</f>
        <v>Richard Does</v>
      </c>
      <c r="AS11" s="69">
        <f>'Stage Entry'!AM22</f>
        <v>1.1469907407407408E-2</v>
      </c>
      <c r="AT11" s="70">
        <f t="shared" si="30"/>
        <v>0.16869212962962962</v>
      </c>
      <c r="AU11" s="68" t="str">
        <f>'Stage Entry'!AQ22</f>
        <v>Dale Nardella</v>
      </c>
      <c r="AV11" s="69">
        <f>'Stage Entry'!AR22</f>
        <v>1.0625000000000001E-2</v>
      </c>
      <c r="AW11" s="70">
        <f t="shared" si="31"/>
        <v>0.17931712962962962</v>
      </c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</row>
    <row r="13" spans="1:67" s="84" customFormat="1" x14ac:dyDescent="0.2">
      <c r="B13" s="85"/>
      <c r="C13" s="86" t="s">
        <v>43</v>
      </c>
      <c r="D13" s="87" t="s">
        <v>42</v>
      </c>
      <c r="E13" s="117"/>
      <c r="F13" s="118" t="s">
        <v>43</v>
      </c>
      <c r="G13" s="119" t="s">
        <v>42</v>
      </c>
      <c r="H13" s="117"/>
      <c r="I13" s="118" t="s">
        <v>43</v>
      </c>
      <c r="J13" s="119" t="s">
        <v>42</v>
      </c>
      <c r="K13" s="85"/>
      <c r="L13" s="86" t="s">
        <v>43</v>
      </c>
      <c r="M13" s="87" t="s">
        <v>42</v>
      </c>
      <c r="N13" s="85"/>
      <c r="O13" s="86" t="s">
        <v>43</v>
      </c>
      <c r="P13" s="87" t="s">
        <v>42</v>
      </c>
      <c r="Q13" s="85"/>
      <c r="R13" s="86" t="s">
        <v>43</v>
      </c>
      <c r="S13" s="87" t="s">
        <v>42</v>
      </c>
      <c r="T13" s="85"/>
      <c r="U13" s="86" t="s">
        <v>43</v>
      </c>
      <c r="V13" s="87" t="s">
        <v>42</v>
      </c>
      <c r="W13" s="85"/>
      <c r="X13" s="86" t="s">
        <v>43</v>
      </c>
      <c r="Y13" s="87" t="s">
        <v>42</v>
      </c>
      <c r="Z13" s="85"/>
      <c r="AA13" s="86" t="s">
        <v>43</v>
      </c>
      <c r="AB13" s="87" t="s">
        <v>42</v>
      </c>
      <c r="AC13" s="85"/>
      <c r="AD13" s="86" t="s">
        <v>43</v>
      </c>
      <c r="AE13" s="87" t="s">
        <v>42</v>
      </c>
      <c r="AF13" s="85"/>
      <c r="AG13" s="86" t="s">
        <v>43</v>
      </c>
      <c r="AH13" s="87" t="s">
        <v>42</v>
      </c>
      <c r="AI13" s="85"/>
      <c r="AJ13" s="86" t="s">
        <v>43</v>
      </c>
      <c r="AK13" s="87" t="s">
        <v>42</v>
      </c>
      <c r="AL13" s="85"/>
      <c r="AM13" s="86" t="s">
        <v>43</v>
      </c>
      <c r="AN13" s="87" t="s">
        <v>42</v>
      </c>
      <c r="AO13" s="85"/>
      <c r="AP13" s="86" t="s">
        <v>43</v>
      </c>
      <c r="AQ13" s="87" t="s">
        <v>42</v>
      </c>
      <c r="AR13" s="85"/>
      <c r="AS13" s="86" t="s">
        <v>43</v>
      </c>
      <c r="AT13" s="87" t="s">
        <v>42</v>
      </c>
      <c r="AU13" s="85"/>
      <c r="AV13" s="86" t="s">
        <v>43</v>
      </c>
      <c r="AW13" s="87" t="s">
        <v>42</v>
      </c>
      <c r="AX13" s="90"/>
      <c r="AY13" s="91" t="s">
        <v>0</v>
      </c>
      <c r="AZ13" s="92">
        <v>1</v>
      </c>
      <c r="BA13" s="92">
        <v>2</v>
      </c>
      <c r="BB13" s="92">
        <v>3</v>
      </c>
      <c r="BC13" s="92">
        <v>4</v>
      </c>
      <c r="BD13" s="92">
        <v>5</v>
      </c>
      <c r="BE13" s="92">
        <v>6</v>
      </c>
      <c r="BF13" s="92">
        <v>7</v>
      </c>
      <c r="BG13" s="92">
        <v>8</v>
      </c>
      <c r="BH13" s="92">
        <v>9</v>
      </c>
      <c r="BI13" s="92">
        <v>10</v>
      </c>
      <c r="BJ13" s="92">
        <v>9</v>
      </c>
      <c r="BK13" s="92">
        <v>10</v>
      </c>
      <c r="BL13" s="92">
        <v>11</v>
      </c>
      <c r="BM13" s="92">
        <v>12</v>
      </c>
      <c r="BN13" s="92">
        <v>13</v>
      </c>
      <c r="BO13" s="92">
        <v>14</v>
      </c>
    </row>
    <row r="14" spans="1:67" x14ac:dyDescent="0.2">
      <c r="C14" s="82">
        <f t="shared" ref="C14:C21" si="32">RANK(D4,D$4:D$11,1)</f>
        <v>1</v>
      </c>
      <c r="D14" s="83">
        <f>D4-MIN(D$4:D$11)</f>
        <v>0</v>
      </c>
      <c r="F14" s="82">
        <f t="shared" ref="F14:F21" si="33">RANK(G4,G$4:G$11,1)</f>
        <v>4</v>
      </c>
      <c r="G14" s="83">
        <f>G4-MIN(G$4:G$11)</f>
        <v>3.703703703703716E-4</v>
      </c>
      <c r="I14" s="82">
        <f t="shared" ref="I14:I21" si="34">RANK(J4,J$4:J$11,1)</f>
        <v>7</v>
      </c>
      <c r="J14" s="83">
        <f>J4-MIN(J$4:J$11)</f>
        <v>1.3888888888888909E-3</v>
      </c>
      <c r="L14" s="82">
        <f t="shared" ref="L14:L21" si="35">RANK(M4,M$4:M$11,1)</f>
        <v>3</v>
      </c>
      <c r="M14" s="83">
        <f>M4-MIN(M$4:M$11)</f>
        <v>5.2083333333333148E-4</v>
      </c>
      <c r="O14" s="82">
        <f t="shared" ref="O14:O21" si="36">RANK(P4,P$4:P$11,1)</f>
        <v>4</v>
      </c>
      <c r="P14" s="83">
        <f>P4-MIN(P$4:P$11)</f>
        <v>7.8703703703703054E-4</v>
      </c>
      <c r="R14" s="82">
        <f t="shared" ref="R14:R21" si="37">RANK(S4,S$4:S$11,1)</f>
        <v>4</v>
      </c>
      <c r="S14" s="83">
        <f>S4-MIN(S$4:S$11)</f>
        <v>1.041666666666663E-3</v>
      </c>
      <c r="U14" s="82">
        <f t="shared" ref="U14:U21" si="38">RANK(V4,V$4:V$11,1)</f>
        <v>4</v>
      </c>
      <c r="V14" s="83">
        <f>V4-MIN(V$4:V$11)</f>
        <v>1.8287037037036935E-3</v>
      </c>
      <c r="X14" s="82">
        <f t="shared" ref="X14:X21" si="39">RANK(Y4,Y$4:Y$11,1)</f>
        <v>4</v>
      </c>
      <c r="Y14" s="83">
        <f>Y4-MIN(Y$4:Y$11)</f>
        <v>8.1018518518519156E-4</v>
      </c>
      <c r="AA14" s="82">
        <f t="shared" ref="AA14:AA21" si="40">RANK(AB4,AB$4:AB$11,1)</f>
        <v>7</v>
      </c>
      <c r="AB14" s="83">
        <f>AB4-MIN(AB$4:AB$11)</f>
        <v>2.3379629629629584E-3</v>
      </c>
      <c r="AD14" s="82">
        <f t="shared" ref="AD14:AD21" si="41">RANK(AE4,AE$4:AE$11,1)</f>
        <v>6</v>
      </c>
      <c r="AE14" s="83">
        <f>AE4-MIN(AE$4:AE$11)</f>
        <v>1.4583333333333393E-3</v>
      </c>
      <c r="AG14" s="82">
        <f t="shared" ref="AG14:AG21" si="42">RANK(AH4,AH$4:AH$11,1)</f>
        <v>1</v>
      </c>
      <c r="AH14" s="83">
        <f>AH4-MIN(AH$4:AH$11)</f>
        <v>0</v>
      </c>
      <c r="AJ14" s="82">
        <f t="shared" ref="AJ14:AJ21" si="43">RANK(AK4,AK$4:AK$11,1)</f>
        <v>4</v>
      </c>
      <c r="AK14" s="83">
        <f>AK4-MIN(AK$4:AK$11)</f>
        <v>3.4722222222224874E-4</v>
      </c>
      <c r="AM14" s="82">
        <f t="shared" ref="AM14:AM21" si="44">RANK(AN4,AN$4:AN$11,1)</f>
        <v>1</v>
      </c>
      <c r="AN14" s="83">
        <f>AN4-MIN(AN$4:AN$11)</f>
        <v>0</v>
      </c>
      <c r="AP14" s="82">
        <f t="shared" ref="AP14:AP21" si="45">RANK(AQ4,AQ$4:AQ$11,1)</f>
        <v>1</v>
      </c>
      <c r="AQ14" s="83">
        <f>AQ4-MIN(AQ$4:AQ$11)</f>
        <v>0</v>
      </c>
      <c r="AS14" s="82">
        <f t="shared" ref="AS14:AS21" si="46">RANK(AT4,AT$4:AT$11,1)</f>
        <v>3</v>
      </c>
      <c r="AT14" s="83">
        <f>AT4-MIN(AT$4:AT$11)</f>
        <v>1.0879629629629572E-3</v>
      </c>
      <c r="AV14" s="82">
        <f t="shared" ref="AV14:AV21" si="47">RANK(AW4,AW$4:AW$11,1)</f>
        <v>1</v>
      </c>
      <c r="AW14" s="83">
        <f>AW4-MIN(AW$4:AW$11)</f>
        <v>0</v>
      </c>
      <c r="AX14" s="93"/>
      <c r="AY14" s="94" t="str">
        <f t="shared" ref="AY14:AY21" si="48">A4</f>
        <v>Virgin Red</v>
      </c>
      <c r="AZ14" s="95">
        <f t="shared" ref="AZ14" si="49">D14</f>
        <v>0</v>
      </c>
      <c r="BA14" s="95">
        <f t="shared" ref="BA14" si="50">G14</f>
        <v>3.703703703703716E-4</v>
      </c>
      <c r="BB14" s="95">
        <f t="shared" ref="BB14" si="51">J14</f>
        <v>1.3888888888888909E-3</v>
      </c>
      <c r="BC14" s="95">
        <f t="shared" ref="BC14" si="52">M14</f>
        <v>5.2083333333333148E-4</v>
      </c>
      <c r="BD14" s="95">
        <f t="shared" ref="BD14" si="53">P14</f>
        <v>7.8703703703703054E-4</v>
      </c>
      <c r="BE14" s="95">
        <f t="shared" ref="BE14" si="54">S14</f>
        <v>1.041666666666663E-3</v>
      </c>
      <c r="BF14" s="95">
        <f t="shared" ref="BF14" si="55">V14</f>
        <v>1.8287037037036935E-3</v>
      </c>
      <c r="BG14" s="95">
        <f t="shared" ref="BG14" si="56">Y14</f>
        <v>8.1018518518519156E-4</v>
      </c>
      <c r="BH14" s="95">
        <f t="shared" ref="BH14" si="57">AB14</f>
        <v>2.3379629629629584E-3</v>
      </c>
      <c r="BI14" s="95">
        <f t="shared" ref="BI14" si="58">AE14</f>
        <v>1.4583333333333393E-3</v>
      </c>
      <c r="BJ14" s="95">
        <f t="shared" ref="BJ14" si="59">AH14</f>
        <v>0</v>
      </c>
      <c r="BK14" s="95">
        <f t="shared" ref="BK14" si="60">AK14</f>
        <v>3.4722222222224874E-4</v>
      </c>
      <c r="BL14" s="95">
        <f t="shared" ref="BL14" si="61">AN14</f>
        <v>0</v>
      </c>
      <c r="BM14" s="95">
        <f t="shared" ref="BM14" si="62">AQ14</f>
        <v>0</v>
      </c>
      <c r="BN14" s="95">
        <f t="shared" ref="BN14" si="63">AT14</f>
        <v>1.0879629629629572E-3</v>
      </c>
      <c r="BO14" s="95">
        <f t="shared" ref="BO14" si="64">AW14</f>
        <v>0</v>
      </c>
    </row>
    <row r="15" spans="1:67" x14ac:dyDescent="0.2">
      <c r="C15" s="82">
        <f t="shared" si="32"/>
        <v>7</v>
      </c>
      <c r="D15" s="83">
        <f t="shared" ref="D15:D21" si="65">D5-MIN(D$4:D$11)</f>
        <v>6.1342592592592525E-4</v>
      </c>
      <c r="F15" s="82">
        <f t="shared" si="33"/>
        <v>2</v>
      </c>
      <c r="G15" s="83">
        <f t="shared" ref="G15:G21" si="66">G5-MIN(G$4:G$11)</f>
        <v>6.9444444444444892E-5</v>
      </c>
      <c r="I15" s="82">
        <f t="shared" si="34"/>
        <v>8</v>
      </c>
      <c r="J15" s="83">
        <f t="shared" ref="J15:J21" si="67">J5-MIN(J$4:J$11)</f>
        <v>1.7708333333333395E-3</v>
      </c>
      <c r="L15" s="82">
        <f t="shared" si="35"/>
        <v>8</v>
      </c>
      <c r="M15" s="83">
        <f t="shared" ref="M15:M21" si="68">M5-MIN(M$4:M$11)</f>
        <v>1.5162037037037071E-3</v>
      </c>
      <c r="O15" s="82">
        <f t="shared" si="36"/>
        <v>7</v>
      </c>
      <c r="P15" s="83">
        <f t="shared" ref="P15:P21" si="69">P5-MIN(P$4:P$11)</f>
        <v>2.0486111111111122E-3</v>
      </c>
      <c r="R15" s="82">
        <f t="shared" si="37"/>
        <v>5</v>
      </c>
      <c r="S15" s="83">
        <f t="shared" ref="S15:S21" si="70">S5-MIN(S$4:S$11)</f>
        <v>1.2152777777777804E-3</v>
      </c>
      <c r="U15" s="82">
        <f t="shared" si="38"/>
        <v>8</v>
      </c>
      <c r="V15" s="83">
        <f t="shared" ref="V15:V21" si="71">V5-MIN(V$4:V$11)</f>
        <v>2.7777777777777679E-3</v>
      </c>
      <c r="X15" s="82">
        <f t="shared" si="39"/>
        <v>8</v>
      </c>
      <c r="Y15" s="83">
        <f t="shared" ref="Y15:Y21" si="72">Y5-MIN(Y$4:Y$11)</f>
        <v>1.5162037037037002E-3</v>
      </c>
      <c r="AA15" s="82">
        <f t="shared" si="40"/>
        <v>4</v>
      </c>
      <c r="AB15" s="83">
        <f t="shared" ref="AB15:AB21" si="73">AB5-MIN(AB$4:AB$11)</f>
        <v>1.4120370370370172E-3</v>
      </c>
      <c r="AD15" s="82">
        <f t="shared" si="41"/>
        <v>8</v>
      </c>
      <c r="AE15" s="83">
        <f t="shared" ref="AE15:AE21" si="74">AE5-MIN(AE$4:AE$11)</f>
        <v>3.8657407407407252E-3</v>
      </c>
      <c r="AG15" s="82">
        <f t="shared" si="42"/>
        <v>8</v>
      </c>
      <c r="AH15" s="83">
        <f t="shared" ref="AH15:AH21" si="75">AH5-MIN(AH$4:AH$11)</f>
        <v>3.3449074074073937E-3</v>
      </c>
      <c r="AJ15" s="82">
        <f t="shared" si="43"/>
        <v>6</v>
      </c>
      <c r="AK15" s="83">
        <f t="shared" ref="AK15:AK21" si="76">AK5-MIN(AK$4:AK$11)</f>
        <v>2.2916666666666641E-3</v>
      </c>
      <c r="AM15" s="82">
        <f t="shared" si="44"/>
        <v>6</v>
      </c>
      <c r="AN15" s="83">
        <f t="shared" ref="AN15:AN21" si="77">AN5-MIN(AN$4:AN$11)</f>
        <v>2.7430555555555125E-3</v>
      </c>
      <c r="AP15" s="82">
        <f t="shared" si="45"/>
        <v>5</v>
      </c>
      <c r="AQ15" s="83">
        <f t="shared" ref="AQ15:AQ21" si="78">AQ5-MIN(AQ$4:AQ$11)</f>
        <v>2.7777777777777402E-3</v>
      </c>
      <c r="AS15" s="82">
        <f t="shared" si="46"/>
        <v>2</v>
      </c>
      <c r="AT15" s="83">
        <f t="shared" ref="AT15:AT21" si="79">AT5-MIN(AT$4:AT$11)</f>
        <v>9.0277777777772461E-4</v>
      </c>
      <c r="AV15" s="82">
        <f t="shared" si="47"/>
        <v>6</v>
      </c>
      <c r="AW15" s="83">
        <f t="shared" ref="AW15:AW21" si="80">AW5-MIN(AW$4:AW$11)</f>
        <v>2.2800925925925419E-3</v>
      </c>
      <c r="AX15" s="93"/>
      <c r="AY15" s="94" t="str">
        <f t="shared" si="48"/>
        <v>The Golden Bum-Taps</v>
      </c>
      <c r="AZ15" s="95">
        <f t="shared" ref="AZ15:AZ21" si="81">D15</f>
        <v>6.1342592592592525E-4</v>
      </c>
      <c r="BA15" s="95">
        <f t="shared" ref="BA15:BA21" si="82">G15</f>
        <v>6.9444444444444892E-5</v>
      </c>
      <c r="BB15" s="95">
        <f t="shared" ref="BB15:BB21" si="83">J15</f>
        <v>1.7708333333333395E-3</v>
      </c>
      <c r="BC15" s="95">
        <f t="shared" ref="BC15:BC21" si="84">M15</f>
        <v>1.5162037037037071E-3</v>
      </c>
      <c r="BD15" s="95">
        <f t="shared" ref="BD15:BD21" si="85">P15</f>
        <v>2.0486111111111122E-3</v>
      </c>
      <c r="BE15" s="95">
        <f t="shared" ref="BE15:BE21" si="86">S15</f>
        <v>1.2152777777777804E-3</v>
      </c>
      <c r="BF15" s="95">
        <f t="shared" ref="BF15:BF21" si="87">V15</f>
        <v>2.7777777777777679E-3</v>
      </c>
      <c r="BG15" s="95">
        <f t="shared" ref="BG15:BG21" si="88">Y15</f>
        <v>1.5162037037037002E-3</v>
      </c>
      <c r="BH15" s="95">
        <f t="shared" ref="BH15:BH21" si="89">AB15</f>
        <v>1.4120370370370172E-3</v>
      </c>
      <c r="BI15" s="95">
        <f t="shared" ref="BI15:BI21" si="90">AE15</f>
        <v>3.8657407407407252E-3</v>
      </c>
      <c r="BJ15" s="95">
        <f t="shared" ref="BJ15:BJ21" si="91">AH15</f>
        <v>3.3449074074073937E-3</v>
      </c>
      <c r="BK15" s="95">
        <f t="shared" ref="BK15:BK21" si="92">AK15</f>
        <v>2.2916666666666641E-3</v>
      </c>
      <c r="BL15" s="95">
        <f t="shared" ref="BL15:BL21" si="93">AN15</f>
        <v>2.7430555555555125E-3</v>
      </c>
      <c r="BM15" s="95">
        <f t="shared" ref="BM15:BM21" si="94">AQ15</f>
        <v>2.7777777777777402E-3</v>
      </c>
      <c r="BN15" s="95">
        <f t="shared" ref="BN15:BN21" si="95">AT15</f>
        <v>9.0277777777772461E-4</v>
      </c>
      <c r="BO15" s="95">
        <f t="shared" ref="BO15:BO21" si="96">AW15</f>
        <v>2.2800925925925419E-3</v>
      </c>
    </row>
    <row r="16" spans="1:67" x14ac:dyDescent="0.2">
      <c r="C16" s="82">
        <f t="shared" si="32"/>
        <v>8</v>
      </c>
      <c r="D16" s="83">
        <f t="shared" si="65"/>
        <v>1.2037037037037034E-3</v>
      </c>
      <c r="F16" s="82">
        <f t="shared" si="33"/>
        <v>8</v>
      </c>
      <c r="G16" s="83">
        <f t="shared" si="66"/>
        <v>9.0277777777778012E-4</v>
      </c>
      <c r="I16" s="82">
        <f t="shared" si="34"/>
        <v>6</v>
      </c>
      <c r="J16" s="83">
        <f t="shared" si="67"/>
        <v>1.1689814814814861E-3</v>
      </c>
      <c r="L16" s="82">
        <f t="shared" si="35"/>
        <v>6</v>
      </c>
      <c r="M16" s="83">
        <f t="shared" si="68"/>
        <v>1.2847222222222218E-3</v>
      </c>
      <c r="O16" s="82">
        <f t="shared" si="36"/>
        <v>8</v>
      </c>
      <c r="P16" s="83">
        <f t="shared" si="69"/>
        <v>2.3842592592592596E-3</v>
      </c>
      <c r="R16" s="82">
        <f t="shared" si="37"/>
        <v>7</v>
      </c>
      <c r="S16" s="83">
        <f t="shared" si="70"/>
        <v>1.8287037037037074E-3</v>
      </c>
      <c r="U16" s="82">
        <f t="shared" si="38"/>
        <v>5</v>
      </c>
      <c r="V16" s="83">
        <f t="shared" si="71"/>
        <v>1.8865740740740683E-3</v>
      </c>
      <c r="X16" s="82">
        <f t="shared" si="39"/>
        <v>6</v>
      </c>
      <c r="Y16" s="83">
        <f t="shared" si="72"/>
        <v>1.1689814814814792E-3</v>
      </c>
      <c r="AA16" s="82">
        <f t="shared" si="40"/>
        <v>6</v>
      </c>
      <c r="AB16" s="83">
        <f t="shared" si="73"/>
        <v>1.6087962962962887E-3</v>
      </c>
      <c r="AD16" s="82">
        <f t="shared" si="41"/>
        <v>3</v>
      </c>
      <c r="AE16" s="83">
        <f t="shared" si="74"/>
        <v>4.0509259259259578E-4</v>
      </c>
      <c r="AG16" s="82">
        <f t="shared" si="42"/>
        <v>6</v>
      </c>
      <c r="AH16" s="83">
        <f t="shared" si="75"/>
        <v>1.2152777777777735E-3</v>
      </c>
      <c r="AJ16" s="82">
        <f t="shared" si="43"/>
        <v>8</v>
      </c>
      <c r="AK16" s="83">
        <f t="shared" si="76"/>
        <v>2.4421296296296413E-3</v>
      </c>
      <c r="AM16" s="82">
        <f t="shared" si="44"/>
        <v>7</v>
      </c>
      <c r="AN16" s="83">
        <f t="shared" si="77"/>
        <v>3.8657407407407252E-3</v>
      </c>
      <c r="AP16" s="82">
        <f t="shared" si="45"/>
        <v>7</v>
      </c>
      <c r="AQ16" s="83">
        <f t="shared" si="78"/>
        <v>5.1157407407407263E-3</v>
      </c>
      <c r="AS16" s="82">
        <f t="shared" si="46"/>
        <v>7</v>
      </c>
      <c r="AT16" s="83">
        <f t="shared" si="79"/>
        <v>2.696759259259246E-3</v>
      </c>
      <c r="AV16" s="82">
        <f t="shared" si="47"/>
        <v>7</v>
      </c>
      <c r="AW16" s="83">
        <f t="shared" si="80"/>
        <v>2.4189814814814803E-3</v>
      </c>
      <c r="AX16" s="93"/>
      <c r="AY16" s="94" t="str">
        <f t="shared" si="48"/>
        <v>Boogie Days</v>
      </c>
      <c r="AZ16" s="95">
        <f t="shared" si="81"/>
        <v>1.2037037037037034E-3</v>
      </c>
      <c r="BA16" s="95">
        <f t="shared" si="82"/>
        <v>9.0277777777778012E-4</v>
      </c>
      <c r="BB16" s="95">
        <f t="shared" si="83"/>
        <v>1.1689814814814861E-3</v>
      </c>
      <c r="BC16" s="95">
        <f t="shared" si="84"/>
        <v>1.2847222222222218E-3</v>
      </c>
      <c r="BD16" s="95">
        <f t="shared" si="85"/>
        <v>2.3842592592592596E-3</v>
      </c>
      <c r="BE16" s="95">
        <f t="shared" si="86"/>
        <v>1.8287037037037074E-3</v>
      </c>
      <c r="BF16" s="95">
        <f t="shared" si="87"/>
        <v>1.8865740740740683E-3</v>
      </c>
      <c r="BG16" s="95">
        <f t="shared" si="88"/>
        <v>1.1689814814814792E-3</v>
      </c>
      <c r="BH16" s="95">
        <f t="shared" si="89"/>
        <v>1.6087962962962887E-3</v>
      </c>
      <c r="BI16" s="95">
        <f t="shared" si="90"/>
        <v>4.0509259259259578E-4</v>
      </c>
      <c r="BJ16" s="95">
        <f t="shared" si="91"/>
        <v>1.2152777777777735E-3</v>
      </c>
      <c r="BK16" s="95">
        <f t="shared" si="92"/>
        <v>2.4421296296296413E-3</v>
      </c>
      <c r="BL16" s="95">
        <f t="shared" si="93"/>
        <v>3.8657407407407252E-3</v>
      </c>
      <c r="BM16" s="95">
        <f t="shared" si="94"/>
        <v>5.1157407407407263E-3</v>
      </c>
      <c r="BN16" s="95">
        <f t="shared" si="95"/>
        <v>2.696759259259246E-3</v>
      </c>
      <c r="BO16" s="95">
        <f t="shared" si="96"/>
        <v>2.4189814814814803E-3</v>
      </c>
    </row>
    <row r="17" spans="3:67" x14ac:dyDescent="0.2">
      <c r="C17" s="82">
        <f t="shared" si="32"/>
        <v>5</v>
      </c>
      <c r="D17" s="83">
        <f t="shared" si="65"/>
        <v>3.5879629629629456E-4</v>
      </c>
      <c r="F17" s="82">
        <f t="shared" si="33"/>
        <v>1</v>
      </c>
      <c r="G17" s="83">
        <f t="shared" si="66"/>
        <v>0</v>
      </c>
      <c r="I17" s="82">
        <f t="shared" si="34"/>
        <v>2</v>
      </c>
      <c r="J17" s="83">
        <f t="shared" si="67"/>
        <v>3.4722222222224181E-5</v>
      </c>
      <c r="L17" s="82">
        <f t="shared" si="35"/>
        <v>1</v>
      </c>
      <c r="M17" s="83">
        <f t="shared" si="68"/>
        <v>0</v>
      </c>
      <c r="O17" s="82">
        <f t="shared" si="36"/>
        <v>1</v>
      </c>
      <c r="P17" s="83">
        <f t="shared" si="69"/>
        <v>0</v>
      </c>
      <c r="R17" s="82">
        <f t="shared" si="37"/>
        <v>1</v>
      </c>
      <c r="S17" s="83">
        <f t="shared" si="70"/>
        <v>0</v>
      </c>
      <c r="U17" s="82">
        <f t="shared" si="38"/>
        <v>1</v>
      </c>
      <c r="V17" s="83">
        <f t="shared" si="71"/>
        <v>0</v>
      </c>
      <c r="X17" s="82">
        <f t="shared" si="39"/>
        <v>3</v>
      </c>
      <c r="Y17" s="83">
        <f t="shared" si="72"/>
        <v>5.9027777777778678E-4</v>
      </c>
      <c r="AA17" s="82">
        <f t="shared" si="40"/>
        <v>1</v>
      </c>
      <c r="AB17" s="83">
        <f t="shared" si="73"/>
        <v>0</v>
      </c>
      <c r="AD17" s="82">
        <f t="shared" si="41"/>
        <v>4</v>
      </c>
      <c r="AE17" s="83">
        <f t="shared" si="74"/>
        <v>7.8703703703704442E-4</v>
      </c>
      <c r="AG17" s="82">
        <f t="shared" si="42"/>
        <v>4</v>
      </c>
      <c r="AH17" s="83">
        <f t="shared" si="75"/>
        <v>8.2175925925927207E-4</v>
      </c>
      <c r="AJ17" s="82">
        <f t="shared" si="43"/>
        <v>3</v>
      </c>
      <c r="AK17" s="83">
        <f t="shared" si="76"/>
        <v>2.8935185185188783E-4</v>
      </c>
      <c r="AM17" s="82">
        <f t="shared" si="44"/>
        <v>3</v>
      </c>
      <c r="AN17" s="83">
        <f t="shared" si="77"/>
        <v>1.0532407407407574E-3</v>
      </c>
      <c r="AP17" s="82">
        <f t="shared" si="45"/>
        <v>2</v>
      </c>
      <c r="AQ17" s="83">
        <f t="shared" si="78"/>
        <v>1.1111111111111183E-3</v>
      </c>
      <c r="AS17" s="82">
        <f t="shared" si="46"/>
        <v>1</v>
      </c>
      <c r="AT17" s="83">
        <f t="shared" si="79"/>
        <v>0</v>
      </c>
      <c r="AV17" s="82">
        <f t="shared" si="47"/>
        <v>2</v>
      </c>
      <c r="AW17" s="83">
        <f t="shared" si="80"/>
        <v>3.472222222222765E-5</v>
      </c>
      <c r="AX17" s="93"/>
      <c r="AY17" s="94" t="str">
        <f t="shared" si="48"/>
        <v>From Dr Tu Undertaker</v>
      </c>
      <c r="AZ17" s="95">
        <f t="shared" si="81"/>
        <v>3.5879629629629456E-4</v>
      </c>
      <c r="BA17" s="95">
        <f t="shared" si="82"/>
        <v>0</v>
      </c>
      <c r="BB17" s="95">
        <f t="shared" si="83"/>
        <v>3.4722222222224181E-5</v>
      </c>
      <c r="BC17" s="95">
        <f t="shared" si="84"/>
        <v>0</v>
      </c>
      <c r="BD17" s="95">
        <f t="shared" si="85"/>
        <v>0</v>
      </c>
      <c r="BE17" s="95">
        <f t="shared" si="86"/>
        <v>0</v>
      </c>
      <c r="BF17" s="95">
        <f t="shared" si="87"/>
        <v>0</v>
      </c>
      <c r="BG17" s="95">
        <f t="shared" si="88"/>
        <v>5.9027777777778678E-4</v>
      </c>
      <c r="BH17" s="95">
        <f t="shared" si="89"/>
        <v>0</v>
      </c>
      <c r="BI17" s="95">
        <f t="shared" si="90"/>
        <v>7.8703703703704442E-4</v>
      </c>
      <c r="BJ17" s="95">
        <f t="shared" si="91"/>
        <v>8.2175925925927207E-4</v>
      </c>
      <c r="BK17" s="95">
        <f t="shared" si="92"/>
        <v>2.8935185185188783E-4</v>
      </c>
      <c r="BL17" s="95">
        <f t="shared" si="93"/>
        <v>1.0532407407407574E-3</v>
      </c>
      <c r="BM17" s="95">
        <f t="shared" si="94"/>
        <v>1.1111111111111183E-3</v>
      </c>
      <c r="BN17" s="95">
        <f t="shared" si="95"/>
        <v>0</v>
      </c>
      <c r="BO17" s="95">
        <f t="shared" si="96"/>
        <v>3.472222222222765E-5</v>
      </c>
    </row>
    <row r="18" spans="3:67" x14ac:dyDescent="0.2">
      <c r="C18" s="82">
        <f t="shared" si="32"/>
        <v>6</v>
      </c>
      <c r="D18" s="83">
        <f t="shared" si="65"/>
        <v>4.9768518518518434E-4</v>
      </c>
      <c r="F18" s="82">
        <f t="shared" si="33"/>
        <v>7</v>
      </c>
      <c r="G18" s="83">
        <f t="shared" si="66"/>
        <v>5.5555555555555566E-4</v>
      </c>
      <c r="I18" s="82">
        <f t="shared" si="34"/>
        <v>4</v>
      </c>
      <c r="J18" s="83">
        <f t="shared" si="67"/>
        <v>9.9537037037037562E-4</v>
      </c>
      <c r="L18" s="82">
        <f t="shared" si="35"/>
        <v>5</v>
      </c>
      <c r="M18" s="83">
        <f t="shared" si="68"/>
        <v>1.2500000000000011E-3</v>
      </c>
      <c r="O18" s="82">
        <f t="shared" si="36"/>
        <v>5</v>
      </c>
      <c r="P18" s="83">
        <f t="shared" si="69"/>
        <v>1.5972222222222221E-3</v>
      </c>
      <c r="R18" s="82">
        <f t="shared" si="37"/>
        <v>6</v>
      </c>
      <c r="S18" s="83">
        <f t="shared" si="70"/>
        <v>1.7245370370370383E-3</v>
      </c>
      <c r="U18" s="82">
        <f t="shared" si="38"/>
        <v>7</v>
      </c>
      <c r="V18" s="83">
        <f t="shared" si="71"/>
        <v>2.1296296296296202E-3</v>
      </c>
      <c r="X18" s="82">
        <f t="shared" si="39"/>
        <v>5</v>
      </c>
      <c r="Y18" s="83">
        <f t="shared" si="72"/>
        <v>1.1226851851851849E-3</v>
      </c>
      <c r="AA18" s="82">
        <f t="shared" si="40"/>
        <v>3</v>
      </c>
      <c r="AB18" s="83">
        <f t="shared" si="73"/>
        <v>7.9861111111109717E-4</v>
      </c>
      <c r="AD18" s="82">
        <f t="shared" si="41"/>
        <v>5</v>
      </c>
      <c r="AE18" s="83">
        <f t="shared" si="74"/>
        <v>1.0185185185185158E-3</v>
      </c>
      <c r="AG18" s="82">
        <f t="shared" si="42"/>
        <v>5</v>
      </c>
      <c r="AH18" s="83">
        <f t="shared" si="75"/>
        <v>1.1111111111111044E-3</v>
      </c>
      <c r="AJ18" s="82">
        <f t="shared" si="43"/>
        <v>5</v>
      </c>
      <c r="AK18" s="83">
        <f t="shared" si="76"/>
        <v>8.5648148148148584E-4</v>
      </c>
      <c r="AM18" s="82">
        <f t="shared" si="44"/>
        <v>5</v>
      </c>
      <c r="AN18" s="83">
        <f t="shared" si="77"/>
        <v>1.9444444444444153E-3</v>
      </c>
      <c r="AP18" s="82">
        <f t="shared" si="45"/>
        <v>3</v>
      </c>
      <c r="AQ18" s="83">
        <f t="shared" si="78"/>
        <v>2.3958333333333193E-3</v>
      </c>
      <c r="AS18" s="82">
        <f t="shared" si="46"/>
        <v>4</v>
      </c>
      <c r="AT18" s="83">
        <f t="shared" si="79"/>
        <v>1.2268518518518401E-3</v>
      </c>
      <c r="AV18" s="82">
        <f t="shared" si="47"/>
        <v>5</v>
      </c>
      <c r="AW18" s="83">
        <f t="shared" si="80"/>
        <v>8.796296296296191E-4</v>
      </c>
      <c r="AX18" s="93"/>
      <c r="AY18" s="94" t="str">
        <f t="shared" si="48"/>
        <v>3 Captains and Duff</v>
      </c>
      <c r="AZ18" s="95">
        <f t="shared" si="81"/>
        <v>4.9768518518518434E-4</v>
      </c>
      <c r="BA18" s="95">
        <f t="shared" si="82"/>
        <v>5.5555555555555566E-4</v>
      </c>
      <c r="BB18" s="95">
        <f t="shared" si="83"/>
        <v>9.9537037037037562E-4</v>
      </c>
      <c r="BC18" s="95">
        <f t="shared" si="84"/>
        <v>1.2500000000000011E-3</v>
      </c>
      <c r="BD18" s="95">
        <f t="shared" si="85"/>
        <v>1.5972222222222221E-3</v>
      </c>
      <c r="BE18" s="95">
        <f t="shared" si="86"/>
        <v>1.7245370370370383E-3</v>
      </c>
      <c r="BF18" s="95">
        <f t="shared" si="87"/>
        <v>2.1296296296296202E-3</v>
      </c>
      <c r="BG18" s="95">
        <f t="shared" si="88"/>
        <v>1.1226851851851849E-3</v>
      </c>
      <c r="BH18" s="95">
        <f t="shared" si="89"/>
        <v>7.9861111111109717E-4</v>
      </c>
      <c r="BI18" s="95">
        <f t="shared" si="90"/>
        <v>1.0185185185185158E-3</v>
      </c>
      <c r="BJ18" s="95">
        <f t="shared" si="91"/>
        <v>1.1111111111111044E-3</v>
      </c>
      <c r="BK18" s="95">
        <f t="shared" si="92"/>
        <v>8.5648148148148584E-4</v>
      </c>
      <c r="BL18" s="95">
        <f t="shared" si="93"/>
        <v>1.9444444444444153E-3</v>
      </c>
      <c r="BM18" s="95">
        <f t="shared" si="94"/>
        <v>2.3958333333333193E-3</v>
      </c>
      <c r="BN18" s="95">
        <f t="shared" si="95"/>
        <v>1.2268518518518401E-3</v>
      </c>
      <c r="BO18" s="95">
        <f t="shared" si="96"/>
        <v>8.796296296296191E-4</v>
      </c>
    </row>
    <row r="19" spans="3:67" x14ac:dyDescent="0.2">
      <c r="C19" s="82">
        <f t="shared" si="32"/>
        <v>4</v>
      </c>
      <c r="D19" s="83">
        <f t="shared" si="65"/>
        <v>1.6203703703703692E-4</v>
      </c>
      <c r="F19" s="82">
        <f t="shared" si="33"/>
        <v>6</v>
      </c>
      <c r="G19" s="83">
        <f t="shared" si="66"/>
        <v>5.0925925925926138E-4</v>
      </c>
      <c r="I19" s="82">
        <f t="shared" si="34"/>
        <v>5</v>
      </c>
      <c r="J19" s="83">
        <f t="shared" si="67"/>
        <v>1.1226851851851918E-3</v>
      </c>
      <c r="L19" s="82">
        <f t="shared" si="35"/>
        <v>7</v>
      </c>
      <c r="M19" s="83">
        <f t="shared" si="68"/>
        <v>1.4467592592592587E-3</v>
      </c>
      <c r="O19" s="82">
        <f t="shared" si="36"/>
        <v>6</v>
      </c>
      <c r="P19" s="83">
        <f t="shared" si="69"/>
        <v>1.6203703703703692E-3</v>
      </c>
      <c r="R19" s="82">
        <f t="shared" si="37"/>
        <v>8</v>
      </c>
      <c r="S19" s="83">
        <f t="shared" si="70"/>
        <v>1.8518518518518476E-3</v>
      </c>
      <c r="U19" s="82">
        <f t="shared" si="38"/>
        <v>6</v>
      </c>
      <c r="V19" s="83">
        <f t="shared" si="71"/>
        <v>2.0717592592592454E-3</v>
      </c>
      <c r="X19" s="82">
        <f t="shared" si="39"/>
        <v>7</v>
      </c>
      <c r="Y19" s="83">
        <f t="shared" si="72"/>
        <v>1.2615740740740677E-3</v>
      </c>
      <c r="AA19" s="82">
        <f t="shared" si="40"/>
        <v>8</v>
      </c>
      <c r="AB19" s="83">
        <f t="shared" si="73"/>
        <v>2.3958333333333193E-3</v>
      </c>
      <c r="AD19" s="82">
        <f t="shared" si="41"/>
        <v>7</v>
      </c>
      <c r="AE19" s="83">
        <f t="shared" si="74"/>
        <v>1.6087962962962887E-3</v>
      </c>
      <c r="AG19" s="82">
        <f t="shared" si="42"/>
        <v>7</v>
      </c>
      <c r="AH19" s="83">
        <f t="shared" si="75"/>
        <v>1.7013888888888773E-3</v>
      </c>
      <c r="AJ19" s="82">
        <f t="shared" si="43"/>
        <v>7</v>
      </c>
      <c r="AK19" s="83">
        <f t="shared" si="76"/>
        <v>2.2916666666666918E-3</v>
      </c>
      <c r="AM19" s="82">
        <f t="shared" si="44"/>
        <v>8</v>
      </c>
      <c r="AN19" s="83">
        <f t="shared" si="77"/>
        <v>4.7337962962963054E-3</v>
      </c>
      <c r="AP19" s="82">
        <f t="shared" si="45"/>
        <v>8</v>
      </c>
      <c r="AQ19" s="83">
        <f t="shared" si="78"/>
        <v>6.7824074074074314E-3</v>
      </c>
      <c r="AS19" s="82">
        <f t="shared" si="46"/>
        <v>8</v>
      </c>
      <c r="AT19" s="83">
        <f t="shared" si="79"/>
        <v>5.1504629629629817E-3</v>
      </c>
      <c r="AV19" s="82">
        <f t="shared" si="47"/>
        <v>8</v>
      </c>
      <c r="AW19" s="83">
        <f t="shared" si="80"/>
        <v>4.849537037037055E-3</v>
      </c>
      <c r="AX19" s="93"/>
      <c r="AY19" s="94" t="str">
        <f t="shared" si="48"/>
        <v>Shattered and Sun Burnt</v>
      </c>
      <c r="AZ19" s="95">
        <f t="shared" si="81"/>
        <v>1.6203703703703692E-4</v>
      </c>
      <c r="BA19" s="95">
        <f t="shared" si="82"/>
        <v>5.0925925925926138E-4</v>
      </c>
      <c r="BB19" s="95">
        <f t="shared" si="83"/>
        <v>1.1226851851851918E-3</v>
      </c>
      <c r="BC19" s="95">
        <f t="shared" si="84"/>
        <v>1.4467592592592587E-3</v>
      </c>
      <c r="BD19" s="95">
        <f t="shared" si="85"/>
        <v>1.6203703703703692E-3</v>
      </c>
      <c r="BE19" s="95">
        <f t="shared" si="86"/>
        <v>1.8518518518518476E-3</v>
      </c>
      <c r="BF19" s="95">
        <f t="shared" si="87"/>
        <v>2.0717592592592454E-3</v>
      </c>
      <c r="BG19" s="95">
        <f t="shared" si="88"/>
        <v>1.2615740740740677E-3</v>
      </c>
      <c r="BH19" s="95">
        <f t="shared" si="89"/>
        <v>2.3958333333333193E-3</v>
      </c>
      <c r="BI19" s="95">
        <f t="shared" si="90"/>
        <v>1.6087962962962887E-3</v>
      </c>
      <c r="BJ19" s="95">
        <f t="shared" si="91"/>
        <v>1.7013888888888773E-3</v>
      </c>
      <c r="BK19" s="95">
        <f t="shared" si="92"/>
        <v>2.2916666666666918E-3</v>
      </c>
      <c r="BL19" s="95">
        <f t="shared" si="93"/>
        <v>4.7337962962963054E-3</v>
      </c>
      <c r="BM19" s="95">
        <f t="shared" si="94"/>
        <v>6.7824074074074314E-3</v>
      </c>
      <c r="BN19" s="95">
        <f t="shared" si="95"/>
        <v>5.1504629629629817E-3</v>
      </c>
      <c r="BO19" s="95">
        <f t="shared" si="96"/>
        <v>4.849537037037055E-3</v>
      </c>
    </row>
    <row r="20" spans="3:67" x14ac:dyDescent="0.2">
      <c r="C20" s="82">
        <f t="shared" si="32"/>
        <v>3</v>
      </c>
      <c r="D20" s="83">
        <f t="shared" si="65"/>
        <v>9.2592592592592032E-5</v>
      </c>
      <c r="F20" s="82">
        <f t="shared" si="33"/>
        <v>3</v>
      </c>
      <c r="G20" s="83">
        <f t="shared" si="66"/>
        <v>1.2731481481481621E-4</v>
      </c>
      <c r="I20" s="82">
        <f t="shared" si="34"/>
        <v>3</v>
      </c>
      <c r="J20" s="83">
        <f t="shared" si="67"/>
        <v>8.4490740740741227E-4</v>
      </c>
      <c r="L20" s="82">
        <f t="shared" si="35"/>
        <v>4</v>
      </c>
      <c r="M20" s="83">
        <f t="shared" si="68"/>
        <v>6.9444444444444198E-4</v>
      </c>
      <c r="O20" s="82">
        <f t="shared" si="36"/>
        <v>3</v>
      </c>
      <c r="P20" s="83">
        <f t="shared" si="69"/>
        <v>5.2083333333333148E-4</v>
      </c>
      <c r="R20" s="82">
        <f t="shared" si="37"/>
        <v>2</v>
      </c>
      <c r="S20" s="83">
        <f t="shared" si="70"/>
        <v>5.7870370370367852E-5</v>
      </c>
      <c r="U20" s="82">
        <f t="shared" si="38"/>
        <v>3</v>
      </c>
      <c r="V20" s="83">
        <f t="shared" si="71"/>
        <v>3.5879629629628762E-4</v>
      </c>
      <c r="X20" s="82">
        <f t="shared" si="39"/>
        <v>1</v>
      </c>
      <c r="Y20" s="83">
        <f t="shared" si="72"/>
        <v>0</v>
      </c>
      <c r="AA20" s="82">
        <f t="shared" si="40"/>
        <v>5</v>
      </c>
      <c r="AB20" s="83">
        <f t="shared" si="73"/>
        <v>1.4930555555555391E-3</v>
      </c>
      <c r="AD20" s="82">
        <f t="shared" si="41"/>
        <v>2</v>
      </c>
      <c r="AE20" s="83">
        <f t="shared" si="74"/>
        <v>3.0092592592591283E-4</v>
      </c>
      <c r="AG20" s="82">
        <f t="shared" si="42"/>
        <v>2</v>
      </c>
      <c r="AH20" s="83">
        <f t="shared" si="75"/>
        <v>2.6620370370368518E-4</v>
      </c>
      <c r="AJ20" s="82">
        <f t="shared" si="43"/>
        <v>1</v>
      </c>
      <c r="AK20" s="83">
        <f t="shared" si="76"/>
        <v>0</v>
      </c>
      <c r="AM20" s="82">
        <f t="shared" si="44"/>
        <v>2</v>
      </c>
      <c r="AN20" s="83">
        <f t="shared" si="77"/>
        <v>8.5648148148145808E-4</v>
      </c>
      <c r="AP20" s="82">
        <f t="shared" si="45"/>
        <v>6</v>
      </c>
      <c r="AQ20" s="83">
        <f t="shared" si="78"/>
        <v>3.043981481481467E-3</v>
      </c>
      <c r="AS20" s="82">
        <f t="shared" si="46"/>
        <v>6</v>
      </c>
      <c r="AT20" s="83">
        <f t="shared" si="79"/>
        <v>1.8055555555555325E-3</v>
      </c>
      <c r="AV20" s="82">
        <f t="shared" si="47"/>
        <v>3</v>
      </c>
      <c r="AW20" s="83">
        <f t="shared" si="80"/>
        <v>9.2592592592560807E-5</v>
      </c>
      <c r="AX20" s="93"/>
      <c r="AY20" s="94" t="str">
        <f t="shared" si="48"/>
        <v>Chasing the View</v>
      </c>
      <c r="AZ20" s="95">
        <f t="shared" si="81"/>
        <v>9.2592592592592032E-5</v>
      </c>
      <c r="BA20" s="95">
        <f t="shared" si="82"/>
        <v>1.2731481481481621E-4</v>
      </c>
      <c r="BB20" s="95">
        <f t="shared" si="83"/>
        <v>8.4490740740741227E-4</v>
      </c>
      <c r="BC20" s="95">
        <f t="shared" si="84"/>
        <v>6.9444444444444198E-4</v>
      </c>
      <c r="BD20" s="95">
        <f t="shared" si="85"/>
        <v>5.2083333333333148E-4</v>
      </c>
      <c r="BE20" s="95">
        <f t="shared" si="86"/>
        <v>5.7870370370367852E-5</v>
      </c>
      <c r="BF20" s="95">
        <f t="shared" si="87"/>
        <v>3.5879629629628762E-4</v>
      </c>
      <c r="BG20" s="95">
        <f t="shared" si="88"/>
        <v>0</v>
      </c>
      <c r="BH20" s="95">
        <f t="shared" si="89"/>
        <v>1.4930555555555391E-3</v>
      </c>
      <c r="BI20" s="95">
        <f t="shared" si="90"/>
        <v>3.0092592592591283E-4</v>
      </c>
      <c r="BJ20" s="95">
        <f t="shared" si="91"/>
        <v>2.6620370370368518E-4</v>
      </c>
      <c r="BK20" s="95">
        <f t="shared" si="92"/>
        <v>0</v>
      </c>
      <c r="BL20" s="95">
        <f t="shared" si="93"/>
        <v>8.5648148148145808E-4</v>
      </c>
      <c r="BM20" s="95">
        <f t="shared" si="94"/>
        <v>3.043981481481467E-3</v>
      </c>
      <c r="BN20" s="95">
        <f t="shared" si="95"/>
        <v>1.8055555555555325E-3</v>
      </c>
      <c r="BO20" s="95">
        <f t="shared" si="96"/>
        <v>9.2592592592560807E-5</v>
      </c>
    </row>
    <row r="21" spans="3:67" x14ac:dyDescent="0.2">
      <c r="C21" s="82">
        <f t="shared" si="32"/>
        <v>2</v>
      </c>
      <c r="D21" s="83">
        <f t="shared" si="65"/>
        <v>5.7870370370369587E-5</v>
      </c>
      <c r="F21" s="82">
        <f t="shared" si="33"/>
        <v>5</v>
      </c>
      <c r="G21" s="83">
        <f t="shared" si="66"/>
        <v>4.0509259259259231E-4</v>
      </c>
      <c r="I21" s="82">
        <f t="shared" si="34"/>
        <v>1</v>
      </c>
      <c r="J21" s="83">
        <f t="shared" si="67"/>
        <v>0</v>
      </c>
      <c r="L21" s="82">
        <f t="shared" si="35"/>
        <v>2</v>
      </c>
      <c r="M21" s="83">
        <f t="shared" si="68"/>
        <v>1.8518518518517713E-4</v>
      </c>
      <c r="O21" s="82">
        <f t="shared" si="36"/>
        <v>2</v>
      </c>
      <c r="P21" s="83">
        <f t="shared" si="69"/>
        <v>1.3888888888888284E-4</v>
      </c>
      <c r="R21" s="82">
        <f t="shared" si="37"/>
        <v>3</v>
      </c>
      <c r="S21" s="83">
        <f t="shared" si="70"/>
        <v>3.9351851851851527E-4</v>
      </c>
      <c r="U21" s="82">
        <f t="shared" si="38"/>
        <v>2</v>
      </c>
      <c r="V21" s="83">
        <f t="shared" si="71"/>
        <v>1.2731481481480234E-4</v>
      </c>
      <c r="X21" s="82">
        <f t="shared" si="39"/>
        <v>2</v>
      </c>
      <c r="Y21" s="83">
        <f t="shared" si="72"/>
        <v>3.4722222222222099E-4</v>
      </c>
      <c r="AA21" s="82">
        <f t="shared" si="40"/>
        <v>2</v>
      </c>
      <c r="AB21" s="83">
        <f t="shared" si="73"/>
        <v>4.3981481481480955E-4</v>
      </c>
      <c r="AD21" s="82">
        <f t="shared" si="41"/>
        <v>1</v>
      </c>
      <c r="AE21" s="83">
        <f t="shared" si="74"/>
        <v>0</v>
      </c>
      <c r="AG21" s="82">
        <f t="shared" si="42"/>
        <v>3</v>
      </c>
      <c r="AH21" s="83">
        <f t="shared" si="75"/>
        <v>7.4074074074073626E-4</v>
      </c>
      <c r="AJ21" s="82">
        <f t="shared" si="43"/>
        <v>2</v>
      </c>
      <c r="AK21" s="83">
        <f t="shared" si="76"/>
        <v>6.94444444444553E-5</v>
      </c>
      <c r="AM21" s="82">
        <f t="shared" si="44"/>
        <v>4</v>
      </c>
      <c r="AN21" s="83">
        <f t="shared" si="77"/>
        <v>1.8749999999999878E-3</v>
      </c>
      <c r="AP21" s="82">
        <f t="shared" si="45"/>
        <v>4</v>
      </c>
      <c r="AQ21" s="83">
        <f t="shared" si="78"/>
        <v>2.5231481481481355E-3</v>
      </c>
      <c r="AS21" s="82">
        <f t="shared" si="46"/>
        <v>5</v>
      </c>
      <c r="AT21" s="83">
        <f t="shared" si="79"/>
        <v>1.4004629629629506E-3</v>
      </c>
      <c r="AV21" s="82">
        <f t="shared" si="47"/>
        <v>4</v>
      </c>
      <c r="AW21" s="83">
        <f t="shared" si="80"/>
        <v>6.7129629629628096E-4</v>
      </c>
      <c r="AX21" s="93"/>
      <c r="AY21" s="94" t="str">
        <f t="shared" si="48"/>
        <v>Greener Pastures</v>
      </c>
      <c r="AZ21" s="95">
        <f t="shared" si="81"/>
        <v>5.7870370370369587E-5</v>
      </c>
      <c r="BA21" s="95">
        <f t="shared" si="82"/>
        <v>4.0509259259259231E-4</v>
      </c>
      <c r="BB21" s="95">
        <f t="shared" si="83"/>
        <v>0</v>
      </c>
      <c r="BC21" s="95">
        <f t="shared" si="84"/>
        <v>1.8518518518517713E-4</v>
      </c>
      <c r="BD21" s="95">
        <f t="shared" si="85"/>
        <v>1.3888888888888284E-4</v>
      </c>
      <c r="BE21" s="95">
        <f t="shared" si="86"/>
        <v>3.9351851851851527E-4</v>
      </c>
      <c r="BF21" s="95">
        <f t="shared" si="87"/>
        <v>1.2731481481480234E-4</v>
      </c>
      <c r="BG21" s="95">
        <f t="shared" si="88"/>
        <v>3.4722222222222099E-4</v>
      </c>
      <c r="BH21" s="95">
        <f t="shared" si="89"/>
        <v>4.3981481481480955E-4</v>
      </c>
      <c r="BI21" s="95">
        <f t="shared" si="90"/>
        <v>0</v>
      </c>
      <c r="BJ21" s="95">
        <f t="shared" si="91"/>
        <v>7.4074074074073626E-4</v>
      </c>
      <c r="BK21" s="95">
        <f t="shared" si="92"/>
        <v>6.94444444444553E-5</v>
      </c>
      <c r="BL21" s="95">
        <f t="shared" si="93"/>
        <v>1.8749999999999878E-3</v>
      </c>
      <c r="BM21" s="95">
        <f t="shared" si="94"/>
        <v>2.5231481481481355E-3</v>
      </c>
      <c r="BN21" s="95">
        <f t="shared" si="95"/>
        <v>1.4004629629629506E-3</v>
      </c>
      <c r="BO21" s="95">
        <f t="shared" si="96"/>
        <v>6.7129629629628096E-4</v>
      </c>
    </row>
  </sheetData>
  <phoneticPr fontId="0" type="noConversion"/>
  <pageMargins left="0.75" right="0.75" top="1" bottom="1" header="0.5" footer="0.5"/>
  <pageSetup paperSize="9" scale="1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54"/>
  <sheetViews>
    <sheetView showZeros="0" zoomScale="95" workbookViewId="0"/>
  </sheetViews>
  <sheetFormatPr defaultRowHeight="12.75" x14ac:dyDescent="0.2"/>
  <cols>
    <col min="1" max="1" width="3.7109375" style="2" customWidth="1"/>
    <col min="2" max="2" width="16.42578125" style="1" customWidth="1"/>
    <col min="3" max="3" width="5.7109375" style="2" customWidth="1"/>
    <col min="4" max="4" width="5.7109375" style="5" customWidth="1"/>
    <col min="5" max="5" width="5.7109375" style="3" customWidth="1"/>
    <col min="6" max="6" width="6.7109375" style="5" customWidth="1"/>
    <col min="7" max="7" width="1.7109375" style="1" customWidth="1"/>
    <col min="8" max="8" width="5.7109375" style="2" customWidth="1"/>
    <col min="9" max="9" width="5.7109375" style="5" customWidth="1"/>
    <col min="10" max="10" width="5.7109375" style="3" customWidth="1"/>
    <col min="11" max="11" width="6.7109375" style="5" customWidth="1"/>
    <col min="12" max="12" width="1.7109375" style="1" customWidth="1"/>
    <col min="13" max="13" width="5.7109375" style="2" customWidth="1"/>
    <col min="14" max="14" width="7.85546875" style="5" bestFit="1" customWidth="1"/>
    <col min="15" max="15" width="5.7109375" style="3" customWidth="1"/>
    <col min="16" max="16" width="6.7109375" style="5" customWidth="1"/>
    <col min="17" max="17" width="1.7109375" style="1" customWidth="1"/>
    <col min="18" max="18" width="5.7109375" style="2" customWidth="1"/>
    <col min="19" max="19" width="5.7109375" style="5" customWidth="1"/>
    <col min="20" max="20" width="5.7109375" style="3" customWidth="1"/>
    <col min="21" max="21" width="6.7109375" style="5" customWidth="1"/>
    <col min="22" max="22" width="1.7109375" style="1" customWidth="1"/>
    <col min="23" max="23" width="7.7109375" style="3" customWidth="1"/>
    <col min="24" max="25" width="7.7109375" style="5" customWidth="1"/>
    <col min="26" max="26" width="1.140625" style="1" customWidth="1"/>
    <col min="27" max="28" width="6" style="1" customWidth="1"/>
    <col min="29" max="16384" width="9.140625" style="1"/>
  </cols>
  <sheetData>
    <row r="1" spans="1:37" s="4" customFormat="1" x14ac:dyDescent="0.2">
      <c r="A1" s="130"/>
      <c r="B1" s="131"/>
      <c r="C1" s="132" t="s">
        <v>33</v>
      </c>
      <c r="D1" s="133"/>
      <c r="E1" s="134"/>
      <c r="F1" s="135"/>
      <c r="G1" s="136"/>
      <c r="H1" s="132" t="s">
        <v>34</v>
      </c>
      <c r="I1" s="133"/>
      <c r="J1" s="134"/>
      <c r="K1" s="135"/>
      <c r="L1" s="136"/>
      <c r="M1" s="132" t="s">
        <v>35</v>
      </c>
      <c r="N1" s="133"/>
      <c r="O1" s="134"/>
      <c r="P1" s="135"/>
      <c r="Q1" s="136"/>
      <c r="R1" s="132" t="s">
        <v>36</v>
      </c>
      <c r="S1" s="133"/>
      <c r="T1" s="134"/>
      <c r="U1" s="135"/>
      <c r="V1" s="137"/>
      <c r="W1" s="138" t="s">
        <v>39</v>
      </c>
      <c r="X1" s="139" t="s">
        <v>39</v>
      </c>
      <c r="Y1" s="139" t="s">
        <v>40</v>
      </c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</row>
    <row r="2" spans="1:37" x14ac:dyDescent="0.2">
      <c r="A2" s="140"/>
      <c r="B2" s="141" t="s">
        <v>28</v>
      </c>
      <c r="C2" s="142" t="s">
        <v>11</v>
      </c>
      <c r="D2" s="139" t="s">
        <v>7</v>
      </c>
      <c r="E2" s="138" t="s">
        <v>32</v>
      </c>
      <c r="F2" s="139" t="s">
        <v>8</v>
      </c>
      <c r="G2" s="136"/>
      <c r="H2" s="143" t="s">
        <v>11</v>
      </c>
      <c r="I2" s="144" t="s">
        <v>7</v>
      </c>
      <c r="J2" s="145" t="s">
        <v>32</v>
      </c>
      <c r="K2" s="144" t="s">
        <v>8</v>
      </c>
      <c r="L2" s="136"/>
      <c r="M2" s="143" t="s">
        <v>11</v>
      </c>
      <c r="N2" s="144" t="s">
        <v>7</v>
      </c>
      <c r="O2" s="145" t="s">
        <v>32</v>
      </c>
      <c r="P2" s="144" t="s">
        <v>8</v>
      </c>
      <c r="Q2" s="136"/>
      <c r="R2" s="143" t="s">
        <v>11</v>
      </c>
      <c r="S2" s="144" t="s">
        <v>7</v>
      </c>
      <c r="T2" s="145" t="s">
        <v>32</v>
      </c>
      <c r="U2" s="144" t="s">
        <v>8</v>
      </c>
      <c r="V2" s="136"/>
      <c r="W2" s="146" t="s">
        <v>38</v>
      </c>
      <c r="X2" s="147" t="s">
        <v>7</v>
      </c>
      <c r="Y2" s="147" t="s">
        <v>8</v>
      </c>
      <c r="Z2" s="136"/>
      <c r="AA2" s="143" t="s">
        <v>10</v>
      </c>
      <c r="AB2" s="143" t="s">
        <v>62</v>
      </c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x14ac:dyDescent="0.2">
      <c r="A3" s="148"/>
      <c r="B3" s="149" t="str">
        <f>+'Team Selection'!D3</f>
        <v>Dion Finocchiaro</v>
      </c>
      <c r="C3" s="150">
        <f>VLOOKUP($B3&amp;"1",Data!$C:$G,2,FALSE)</f>
        <v>4</v>
      </c>
      <c r="D3" s="151">
        <f>VLOOKUP($B3&amp;"1",Data!$C:$G,4,FALSE)</f>
        <v>7.8009259259259256E-3</v>
      </c>
      <c r="E3" s="152">
        <f>VLOOKUP($B3&amp;"1",Data!$C:$G,5,FALSE)</f>
        <v>3.39</v>
      </c>
      <c r="F3" s="153">
        <f t="shared" ref="F3" si="0">+D3/E3</f>
        <v>2.3011580902436357E-3</v>
      </c>
      <c r="G3" s="136"/>
      <c r="H3" s="150">
        <f>VLOOKUP($B3&amp;"2",Data!$C:$G,2,FALSE)</f>
        <v>8</v>
      </c>
      <c r="I3" s="151">
        <f>VLOOKUP($B3&amp;"2",Data!$C:$G,4,FALSE)</f>
        <v>1.3414351851851851E-2</v>
      </c>
      <c r="J3" s="152">
        <f>VLOOKUP($B3&amp;"2",Data!$C:$G,5,FALSE)</f>
        <v>5.13</v>
      </c>
      <c r="K3" s="153">
        <f t="shared" ref="K3" si="1">+I3/J3</f>
        <v>2.6148834019204389E-3</v>
      </c>
      <c r="L3" s="136"/>
      <c r="M3" s="150">
        <f>VLOOKUP($B3&amp;"3",Data!$C:$G,2,FALSE)</f>
        <v>11</v>
      </c>
      <c r="N3" s="151">
        <f>VLOOKUP($B3&amp;"3",Data!$C:$G,4,FALSE)</f>
        <v>1.2569444444444446E-2</v>
      </c>
      <c r="O3" s="152">
        <f>VLOOKUP($B3&amp;"3",Data!$C:$G,5,FALSE)</f>
        <v>5.3</v>
      </c>
      <c r="P3" s="153">
        <f t="shared" ref="P3" si="2">+N3/O3</f>
        <v>2.3715932914046126E-3</v>
      </c>
      <c r="Q3" s="136"/>
      <c r="R3" s="150">
        <f>VLOOKUP($B3&amp;"4",Data!$C:$G,2,FALSE)</f>
        <v>13</v>
      </c>
      <c r="S3" s="151">
        <f>VLOOKUP($B3&amp;"4",Data!$C:$G,4,FALSE)</f>
        <v>1.0960648148148148E-2</v>
      </c>
      <c r="T3" s="152">
        <f>VLOOKUP($B3&amp;"4",Data!$C:$G,5,FALSE)</f>
        <v>4.5</v>
      </c>
      <c r="U3" s="153">
        <f t="shared" ref="U3" si="3">+S3/T3</f>
        <v>2.4356995884773662E-3</v>
      </c>
      <c r="V3" s="136"/>
      <c r="W3" s="154">
        <f t="shared" ref="W3" si="4">SUM(E3,J3,O3,T3)</f>
        <v>18.32</v>
      </c>
      <c r="X3" s="155">
        <f t="shared" ref="X3" si="5">SUM(D3,I3,N3,S3)</f>
        <v>4.4745370370370373E-2</v>
      </c>
      <c r="Y3" s="153">
        <f t="shared" ref="Y3" si="6">SUM(D3,I3,N3,S3)/W3</f>
        <v>2.442432880478732E-3</v>
      </c>
      <c r="Z3" s="136"/>
      <c r="AA3" s="143">
        <f t="shared" ref="AA3:AA10" si="7">RANK(Y3,Y$3:Y$10,1)</f>
        <v>1</v>
      </c>
      <c r="AB3" s="143">
        <f>VLOOKUP(B3,'Team Selection'!$J$14:$L$49,3,FALSE)</f>
        <v>1</v>
      </c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x14ac:dyDescent="0.2">
      <c r="A4" s="148"/>
      <c r="B4" s="149" t="str">
        <f>+'Team Selection'!D4</f>
        <v>Tait Ovens</v>
      </c>
      <c r="C4" s="150">
        <f>VLOOKUP($B4&amp;"1",Data!$C:$G,2,FALSE)</f>
        <v>4</v>
      </c>
      <c r="D4" s="151">
        <f>VLOOKUP($B4&amp;"1",Data!$C:$G,4,FALSE)</f>
        <v>8.4143518518518517E-3</v>
      </c>
      <c r="E4" s="152">
        <f>VLOOKUP($B4&amp;"1",Data!$C:$G,5,FALSE)</f>
        <v>3.39</v>
      </c>
      <c r="F4" s="153">
        <f t="shared" ref="F4:F10" si="8">+D4/E4</f>
        <v>2.4821096908117556E-3</v>
      </c>
      <c r="G4" s="136"/>
      <c r="H4" s="150">
        <f>VLOOKUP($B4&amp;"2",Data!$C:$G,2,FALSE)</f>
        <v>8</v>
      </c>
      <c r="I4" s="151">
        <f>VLOOKUP($B4&amp;"2",Data!$C:$G,4,FALSE)</f>
        <v>1.3171296296296294E-2</v>
      </c>
      <c r="J4" s="152">
        <f>VLOOKUP($B4&amp;"2",Data!$C:$G,5,FALSE)</f>
        <v>5.13</v>
      </c>
      <c r="K4" s="153">
        <f t="shared" ref="K4:K10" si="9">+I4/J4</f>
        <v>2.5675041513248138E-3</v>
      </c>
      <c r="L4" s="136"/>
      <c r="M4" s="150">
        <f>VLOOKUP($B4&amp;"3",Data!$C:$G,2,FALSE)</f>
        <v>11</v>
      </c>
      <c r="N4" s="151">
        <f>VLOOKUP($B4&amp;"3",Data!$C:$G,4,FALSE)</f>
        <v>1.3506944444444445E-2</v>
      </c>
      <c r="O4" s="152">
        <f>VLOOKUP($B4&amp;"3",Data!$C:$G,5,FALSE)</f>
        <v>5.3</v>
      </c>
      <c r="P4" s="153">
        <f t="shared" ref="P4:P10" si="10">+N4/O4</f>
        <v>2.5484800838574424E-3</v>
      </c>
      <c r="Q4" s="136"/>
      <c r="R4" s="150">
        <f>VLOOKUP($B4&amp;"4",Data!$C:$G,2,FALSE)</f>
        <v>13</v>
      </c>
      <c r="S4" s="151">
        <f>VLOOKUP($B4&amp;"4",Data!$C:$G,4,FALSE)</f>
        <v>1.1759259259259259E-2</v>
      </c>
      <c r="T4" s="152">
        <f>VLOOKUP($B4&amp;"4",Data!$C:$G,5,FALSE)</f>
        <v>4.5</v>
      </c>
      <c r="U4" s="153">
        <f t="shared" ref="U4:U10" si="11">+S4/T4</f>
        <v>2.6131687242798352E-3</v>
      </c>
      <c r="V4" s="136"/>
      <c r="W4" s="154">
        <f t="shared" ref="W4:W10" si="12">SUM(E4,J4,O4,T4)</f>
        <v>18.32</v>
      </c>
      <c r="X4" s="155">
        <f t="shared" ref="X4:X10" si="13">SUM(D4,I4,N4,S4)</f>
        <v>4.6851851851851853E-2</v>
      </c>
      <c r="Y4" s="153">
        <f t="shared" ref="Y4:Y10" si="14">SUM(D4,I4,N4,S4)/W4</f>
        <v>2.5574154940967166E-3</v>
      </c>
      <c r="Z4" s="136"/>
      <c r="AA4" s="156">
        <f t="shared" si="7"/>
        <v>2</v>
      </c>
      <c r="AB4" s="156">
        <f>VLOOKUP(B4,'Team Selection'!$J$14:$L$49,3,FALSE)</f>
        <v>2</v>
      </c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x14ac:dyDescent="0.2">
      <c r="A5" s="148"/>
      <c r="B5" s="149" t="str">
        <f>+'Team Selection'!D5</f>
        <v>Darren Bowden</v>
      </c>
      <c r="C5" s="150">
        <f>VLOOKUP($B5&amp;"1",Data!$C:$G,2,FALSE)</f>
        <v>4</v>
      </c>
      <c r="D5" s="151">
        <f>VLOOKUP($B5&amp;"1",Data!$C:$G,4,FALSE)</f>
        <v>8.7847222222222233E-3</v>
      </c>
      <c r="E5" s="152">
        <f>VLOOKUP($B5&amp;"1",Data!$C:$G,5,FALSE)</f>
        <v>3.39</v>
      </c>
      <c r="F5" s="153">
        <f t="shared" si="8"/>
        <v>2.5913634873811868E-3</v>
      </c>
      <c r="G5" s="136"/>
      <c r="H5" s="150">
        <f>VLOOKUP($B5&amp;"2",Data!$C:$G,2,FALSE)</f>
        <v>8</v>
      </c>
      <c r="I5" s="151">
        <f>VLOOKUP($B5&amp;"2",Data!$C:$G,4,FALSE)</f>
        <v>1.3715277777777778E-2</v>
      </c>
      <c r="J5" s="152">
        <f>VLOOKUP($B5&amp;"2",Data!$C:$G,5,FALSE)</f>
        <v>5.13</v>
      </c>
      <c r="K5" s="153">
        <f t="shared" si="9"/>
        <v>2.6735434264674031E-3</v>
      </c>
      <c r="L5" s="136"/>
      <c r="M5" s="150">
        <f>VLOOKUP($B5&amp;"3",Data!$C:$G,2,FALSE)</f>
        <v>11</v>
      </c>
      <c r="N5" s="151">
        <f>VLOOKUP($B5&amp;"3",Data!$C:$G,4,FALSE)</f>
        <v>1.4837962962962963E-2</v>
      </c>
      <c r="O5" s="152">
        <f>VLOOKUP($B5&amp;"3",Data!$C:$G,5,FALSE)</f>
        <v>5.3</v>
      </c>
      <c r="P5" s="153">
        <f t="shared" si="10"/>
        <v>2.7996156533892382E-3</v>
      </c>
      <c r="Q5" s="136"/>
      <c r="R5" s="150">
        <f>VLOOKUP($B5&amp;"4",Data!$C:$G,2,FALSE)</f>
        <v>15</v>
      </c>
      <c r="S5" s="151">
        <f>VLOOKUP($B5&amp;"4",Data!$C:$G,4,FALSE)</f>
        <v>1.0173611111111111E-2</v>
      </c>
      <c r="T5" s="152">
        <f>VLOOKUP($B5&amp;"4",Data!$C:$G,5,FALSE)</f>
        <v>4.49</v>
      </c>
      <c r="U5" s="153">
        <f t="shared" si="11"/>
        <v>2.2658376639445679E-3</v>
      </c>
      <c r="V5" s="136"/>
      <c r="W5" s="154">
        <f t="shared" si="12"/>
        <v>18.310000000000002</v>
      </c>
      <c r="X5" s="155">
        <f t="shared" si="13"/>
        <v>4.7511574074074074E-2</v>
      </c>
      <c r="Y5" s="153">
        <f t="shared" si="14"/>
        <v>2.5948429314076498E-3</v>
      </c>
      <c r="Z5" s="136"/>
      <c r="AA5" s="156">
        <f t="shared" si="7"/>
        <v>3</v>
      </c>
      <c r="AB5" s="156">
        <f>VLOOKUP(B5,'Team Selection'!$J$14:$L$49,3,FALSE)</f>
        <v>3</v>
      </c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x14ac:dyDescent="0.2">
      <c r="A6" s="148"/>
      <c r="B6" s="149" t="str">
        <f>+'Team Selection'!D6</f>
        <v>Simon Tu</v>
      </c>
      <c r="C6" s="150">
        <f>VLOOKUP($B6&amp;"1",Data!$C:$G,2,FALSE)</f>
        <v>4</v>
      </c>
      <c r="D6" s="151">
        <f>VLOOKUP($B6&amp;"1",Data!$C:$G,4,FALSE)</f>
        <v>8.6342592592592599E-3</v>
      </c>
      <c r="E6" s="152">
        <f>VLOOKUP($B6&amp;"1",Data!$C:$G,5,FALSE)</f>
        <v>3.39</v>
      </c>
      <c r="F6" s="153">
        <f t="shared" si="8"/>
        <v>2.5469791325248552E-3</v>
      </c>
      <c r="G6" s="136"/>
      <c r="H6" s="150">
        <f>VLOOKUP($B6&amp;"2",Data!$C:$G,2,FALSE)</f>
        <v>8</v>
      </c>
      <c r="I6" s="151">
        <f>VLOOKUP($B6&amp;"2",Data!$C:$G,4,FALSE)</f>
        <v>1.5023148148148148E-2</v>
      </c>
      <c r="J6" s="152">
        <f>VLOOKUP($B6&amp;"2",Data!$C:$G,5,FALSE)</f>
        <v>5.13</v>
      </c>
      <c r="K6" s="153">
        <f t="shared" si="9"/>
        <v>2.9284889177676704E-3</v>
      </c>
      <c r="L6" s="136"/>
      <c r="M6" s="150">
        <f>VLOOKUP($B6&amp;"3",Data!$C:$G,2,FALSE)</f>
        <v>11</v>
      </c>
      <c r="N6" s="151">
        <f>VLOOKUP($B6&amp;"3",Data!$C:$G,4,FALSE)</f>
        <v>1.40625E-2</v>
      </c>
      <c r="O6" s="152">
        <f>VLOOKUP($B6&amp;"3",Data!$C:$G,5,FALSE)</f>
        <v>5.3</v>
      </c>
      <c r="P6" s="153">
        <f t="shared" si="10"/>
        <v>2.6533018867924531E-3</v>
      </c>
      <c r="Q6" s="136"/>
      <c r="R6" s="150">
        <f>VLOOKUP($B6&amp;"4",Data!$C:$G,2,FALSE)</f>
        <v>13</v>
      </c>
      <c r="S6" s="151">
        <f>VLOOKUP($B6&amp;"4",Data!$C:$G,4,FALSE)</f>
        <v>1.207175925925926E-2</v>
      </c>
      <c r="T6" s="152">
        <f>VLOOKUP($B6&amp;"4",Data!$C:$G,5,FALSE)</f>
        <v>4.5</v>
      </c>
      <c r="U6" s="153">
        <f t="shared" si="11"/>
        <v>2.6826131687242797E-3</v>
      </c>
      <c r="V6" s="136"/>
      <c r="W6" s="154">
        <f t="shared" si="12"/>
        <v>18.32</v>
      </c>
      <c r="X6" s="155">
        <f t="shared" si="13"/>
        <v>4.9791666666666672E-2</v>
      </c>
      <c r="Y6" s="153">
        <f t="shared" si="14"/>
        <v>2.7178857350800586E-3</v>
      </c>
      <c r="Z6" s="136"/>
      <c r="AA6" s="156">
        <f t="shared" si="7"/>
        <v>7</v>
      </c>
      <c r="AB6" s="156">
        <f>VLOOKUP(B6,'Team Selection'!$J$14:$L$49,3,FALSE)</f>
        <v>4</v>
      </c>
      <c r="AC6" s="136"/>
      <c r="AD6" s="136"/>
      <c r="AE6" s="136"/>
      <c r="AF6" s="136"/>
      <c r="AG6" s="136"/>
      <c r="AH6" s="136"/>
      <c r="AI6" s="136"/>
      <c r="AJ6" s="136"/>
      <c r="AK6" s="136"/>
    </row>
    <row r="7" spans="1:37" x14ac:dyDescent="0.2">
      <c r="A7" s="148"/>
      <c r="B7" s="149" t="str">
        <f>+'Team Selection'!D7</f>
        <v>David Hartley</v>
      </c>
      <c r="C7" s="150">
        <f>VLOOKUP($B7&amp;"1",Data!$C:$G,2,FALSE)</f>
        <v>4</v>
      </c>
      <c r="D7" s="151">
        <f>VLOOKUP($B7&amp;"1",Data!$C:$G,4,FALSE)</f>
        <v>8.9236111111111113E-3</v>
      </c>
      <c r="E7" s="152">
        <f>VLOOKUP($B7&amp;"1",Data!$C:$G,5,FALSE)</f>
        <v>3.39</v>
      </c>
      <c r="F7" s="153">
        <f t="shared" si="8"/>
        <v>2.632333661094723E-3</v>
      </c>
      <c r="G7" s="136"/>
      <c r="H7" s="150">
        <f>VLOOKUP($B7&amp;"2",Data!$C:$G,2,FALSE)</f>
        <v>8</v>
      </c>
      <c r="I7" s="151">
        <f>VLOOKUP($B7&amp;"2",Data!$C:$G,4,FALSE)</f>
        <v>1.3425925925925924E-2</v>
      </c>
      <c r="J7" s="152">
        <f>VLOOKUP($B7&amp;"2",Data!$C:$G,5,FALSE)</f>
        <v>5.13</v>
      </c>
      <c r="K7" s="153">
        <f t="shared" si="9"/>
        <v>2.6171395567107067E-3</v>
      </c>
      <c r="L7" s="136"/>
      <c r="M7" s="150">
        <f>VLOOKUP($B7&amp;"3",Data!$C:$G,2,FALSE)</f>
        <v>11</v>
      </c>
      <c r="N7" s="151">
        <f>VLOOKUP($B7&amp;"3",Data!$C:$G,4,FALSE)</f>
        <v>1.4120370370370368E-2</v>
      </c>
      <c r="O7" s="152">
        <f>VLOOKUP($B7&amp;"3",Data!$C:$G,5,FALSE)</f>
        <v>5.3</v>
      </c>
      <c r="P7" s="153">
        <f t="shared" si="10"/>
        <v>2.6642208245981828E-3</v>
      </c>
      <c r="Q7" s="136"/>
      <c r="R7" s="150">
        <f>VLOOKUP($B7&amp;"4",Data!$C:$G,2,FALSE)</f>
        <v>13</v>
      </c>
      <c r="S7" s="151">
        <f>VLOOKUP($B7&amp;"4",Data!$C:$G,4,FALSE)</f>
        <v>1.2395833333333335E-2</v>
      </c>
      <c r="T7" s="152">
        <f>VLOOKUP($B7&amp;"4",Data!$C:$G,5,FALSE)</f>
        <v>4.5</v>
      </c>
      <c r="U7" s="153">
        <f t="shared" si="11"/>
        <v>2.7546296296296299E-3</v>
      </c>
      <c r="V7" s="136"/>
      <c r="W7" s="154">
        <f t="shared" si="12"/>
        <v>18.32</v>
      </c>
      <c r="X7" s="155">
        <f t="shared" si="13"/>
        <v>4.8865740740740737E-2</v>
      </c>
      <c r="Y7" s="153">
        <f t="shared" si="14"/>
        <v>2.6673439268963283E-3</v>
      </c>
      <c r="Z7" s="136"/>
      <c r="AA7" s="156">
        <f t="shared" si="7"/>
        <v>6</v>
      </c>
      <c r="AB7" s="156">
        <f>VLOOKUP(B7,'Team Selection'!$J$14:$L$49,3,FALSE)</f>
        <v>5</v>
      </c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x14ac:dyDescent="0.2">
      <c r="A8" s="148"/>
      <c r="B8" s="149" t="str">
        <f>+'Team Selection'!D8</f>
        <v>David Alcock</v>
      </c>
      <c r="C8" s="150">
        <f>VLOOKUP($B8&amp;"1",Data!$C:$G,2,FALSE)</f>
        <v>4</v>
      </c>
      <c r="D8" s="151">
        <f>VLOOKUP($B8&amp;"1",Data!$C:$G,4,FALSE)</f>
        <v>8.9930555555555545E-3</v>
      </c>
      <c r="E8" s="152">
        <f>VLOOKUP($B8&amp;"1",Data!$C:$G,5,FALSE)</f>
        <v>3.39</v>
      </c>
      <c r="F8" s="153">
        <f t="shared" si="8"/>
        <v>2.652818747951491E-3</v>
      </c>
      <c r="G8" s="136"/>
      <c r="H8" s="150">
        <f>VLOOKUP($B8&amp;"2",Data!$C:$G,2,FALSE)</f>
        <v>8</v>
      </c>
      <c r="I8" s="151">
        <f>VLOOKUP($B8&amp;"2",Data!$C:$G,4,FALSE)</f>
        <v>1.3622685185185184E-2</v>
      </c>
      <c r="J8" s="152">
        <f>VLOOKUP($B8&amp;"2",Data!$C:$G,5,FALSE)</f>
        <v>5.13</v>
      </c>
      <c r="K8" s="153">
        <f t="shared" si="9"/>
        <v>2.6554941881452602E-3</v>
      </c>
      <c r="L8" s="136"/>
      <c r="M8" s="150">
        <f>VLOOKUP($B8&amp;"3",Data!$C:$G,2,FALSE)</f>
        <v>11</v>
      </c>
      <c r="N8" s="151">
        <f>VLOOKUP($B8&amp;"3",Data!$C:$G,4,FALSE)</f>
        <v>1.4120370370370368E-2</v>
      </c>
      <c r="O8" s="152">
        <f>VLOOKUP($B8&amp;"3",Data!$C:$G,5,FALSE)</f>
        <v>5.3</v>
      </c>
      <c r="P8" s="153">
        <f t="shared" si="10"/>
        <v>2.6642208245981828E-3</v>
      </c>
      <c r="Q8" s="136"/>
      <c r="R8" s="150">
        <f>VLOOKUP($B8&amp;"4",Data!$C:$G,2,FALSE)</f>
        <v>15</v>
      </c>
      <c r="S8" s="151">
        <f>VLOOKUP($B8&amp;"4",Data!$C:$G,4,FALSE)</f>
        <v>1.0960648148148148E-2</v>
      </c>
      <c r="T8" s="152">
        <f>VLOOKUP($B8&amp;"4",Data!$C:$G,5,FALSE)</f>
        <v>4.49</v>
      </c>
      <c r="U8" s="153">
        <f t="shared" si="11"/>
        <v>2.4411243091643983E-3</v>
      </c>
      <c r="V8" s="136"/>
      <c r="W8" s="154">
        <f t="shared" si="12"/>
        <v>18.310000000000002</v>
      </c>
      <c r="X8" s="155">
        <f t="shared" si="13"/>
        <v>4.7696759259259258E-2</v>
      </c>
      <c r="Y8" s="153">
        <f t="shared" si="14"/>
        <v>2.604956813722515E-3</v>
      </c>
      <c r="Z8" s="136"/>
      <c r="AA8" s="156">
        <f t="shared" si="7"/>
        <v>4</v>
      </c>
      <c r="AB8" s="156">
        <f>VLOOKUP(B8,'Team Selection'!$J$14:$L$49,3,FALSE)</f>
        <v>6</v>
      </c>
      <c r="AC8" s="136"/>
      <c r="AD8" s="136"/>
      <c r="AE8" s="136"/>
      <c r="AF8" s="136"/>
      <c r="AG8" s="136"/>
      <c r="AH8" s="136"/>
      <c r="AI8" s="136"/>
      <c r="AJ8" s="136"/>
      <c r="AK8" s="136"/>
    </row>
    <row r="9" spans="1:37" x14ac:dyDescent="0.2">
      <c r="A9" s="148"/>
      <c r="B9" s="149" t="str">
        <f>+'Team Selection'!D9</f>
        <v>Daniel Hall</v>
      </c>
      <c r="C9" s="150">
        <f>VLOOKUP($B9&amp;"1",Data!$C:$G,2,FALSE)</f>
        <v>4</v>
      </c>
      <c r="D9" s="151">
        <f>VLOOKUP($B9&amp;"1",Data!$C:$G,4,FALSE)</f>
        <v>8.518518518518519E-3</v>
      </c>
      <c r="E9" s="152">
        <f>VLOOKUP($B9&amp;"1",Data!$C:$G,5,FALSE)</f>
        <v>3.39</v>
      </c>
      <c r="F9" s="153">
        <f t="shared" si="8"/>
        <v>2.5128373210969081E-3</v>
      </c>
      <c r="G9" s="136"/>
      <c r="H9" s="150">
        <f>VLOOKUP($B9&amp;"2",Data!$C:$G,2,FALSE)</f>
        <v>8</v>
      </c>
      <c r="I9" s="151">
        <f>VLOOKUP($B9&amp;"2",Data!$C:$G,4,FALSE)</f>
        <v>1.4074074074074074E-2</v>
      </c>
      <c r="J9" s="152">
        <f>VLOOKUP($B9&amp;"2",Data!$C:$G,5,FALSE)</f>
        <v>5.13</v>
      </c>
      <c r="K9" s="153">
        <f t="shared" si="9"/>
        <v>2.7434842249657067E-3</v>
      </c>
      <c r="L9" s="136"/>
      <c r="M9" s="150">
        <f>VLOOKUP($B9&amp;"3",Data!$C:$G,2,FALSE)</f>
        <v>11</v>
      </c>
      <c r="N9" s="151">
        <f>VLOOKUP($B9&amp;"3",Data!$C:$G,4,FALSE)</f>
        <v>1.3993055555555555E-2</v>
      </c>
      <c r="O9" s="152">
        <f>VLOOKUP($B9&amp;"3",Data!$C:$G,5,FALSE)</f>
        <v>5.3</v>
      </c>
      <c r="P9" s="153">
        <f t="shared" si="10"/>
        <v>2.6401991614255767E-3</v>
      </c>
      <c r="Q9" s="136"/>
      <c r="R9" s="150">
        <f>VLOOKUP($B9&amp;"4",Data!$C:$G,2,FALSE)</f>
        <v>13</v>
      </c>
      <c r="S9" s="151">
        <f>VLOOKUP($B9&amp;"4",Data!$C:$G,4,FALSE)</f>
        <v>1.2164351851851852E-2</v>
      </c>
      <c r="T9" s="152">
        <f>VLOOKUP($B9&amp;"4",Data!$C:$G,5,FALSE)</f>
        <v>4.5</v>
      </c>
      <c r="U9" s="153">
        <f t="shared" si="11"/>
        <v>2.7031893004115224E-3</v>
      </c>
      <c r="V9" s="136"/>
      <c r="W9" s="154">
        <f t="shared" si="12"/>
        <v>18.32</v>
      </c>
      <c r="X9" s="155">
        <f t="shared" si="13"/>
        <v>4.8750000000000002E-2</v>
      </c>
      <c r="Y9" s="153">
        <f t="shared" si="14"/>
        <v>2.6610262008733626E-3</v>
      </c>
      <c r="Z9" s="136"/>
      <c r="AA9" s="156">
        <f t="shared" si="7"/>
        <v>5</v>
      </c>
      <c r="AB9" s="156">
        <f>VLOOKUP(B9,'Team Selection'!$J$14:$L$49,3,FALSE)</f>
        <v>7</v>
      </c>
      <c r="AC9" s="136"/>
      <c r="AD9" s="136"/>
      <c r="AE9" s="136"/>
      <c r="AF9" s="136"/>
      <c r="AG9" s="136"/>
      <c r="AH9" s="136"/>
      <c r="AI9" s="136"/>
      <c r="AJ9" s="136"/>
      <c r="AK9" s="136"/>
    </row>
    <row r="10" spans="1:37" x14ac:dyDescent="0.2">
      <c r="A10" s="148"/>
      <c r="B10" s="149" t="str">
        <f>+'Team Selection'!D10</f>
        <v>Tony Langelaan</v>
      </c>
      <c r="C10" s="157">
        <f>VLOOKUP($B10&amp;"1",Data!$C:$G,2,FALSE)</f>
        <v>4</v>
      </c>
      <c r="D10" s="158">
        <f>VLOOKUP($B10&amp;"1",Data!$C:$G,4,FALSE)</f>
        <v>8.8541666666666664E-3</v>
      </c>
      <c r="E10" s="159">
        <f>VLOOKUP($B10&amp;"1",Data!$C:$G,5,FALSE)</f>
        <v>3.39</v>
      </c>
      <c r="F10" s="160">
        <f t="shared" si="8"/>
        <v>2.6118485742379544E-3</v>
      </c>
      <c r="G10" s="136"/>
      <c r="H10" s="157">
        <f>VLOOKUP($B10&amp;"2",Data!$C:$G,2,FALSE)</f>
        <v>8</v>
      </c>
      <c r="I10" s="158">
        <f>VLOOKUP($B10&amp;"2",Data!$C:$G,4,FALSE)</f>
        <v>1.4652777777777778E-2</v>
      </c>
      <c r="J10" s="159">
        <f>VLOOKUP($B10&amp;"2",Data!$C:$G,5,FALSE)</f>
        <v>5.13</v>
      </c>
      <c r="K10" s="160">
        <f t="shared" si="9"/>
        <v>2.856291964479099E-3</v>
      </c>
      <c r="L10" s="136"/>
      <c r="M10" s="157">
        <f>VLOOKUP($B10&amp;"3",Data!$C:$G,2,FALSE)</f>
        <v>11</v>
      </c>
      <c r="N10" s="158">
        <f>VLOOKUP($B10&amp;"3",Data!$C:$G,4,FALSE)</f>
        <v>1.4768518518518519E-2</v>
      </c>
      <c r="O10" s="159">
        <f>VLOOKUP($B10&amp;"3",Data!$C:$G,5,FALSE)</f>
        <v>5.3</v>
      </c>
      <c r="P10" s="160">
        <f t="shared" si="10"/>
        <v>2.7865129280223622E-3</v>
      </c>
      <c r="Q10" s="136"/>
      <c r="R10" s="157">
        <f>VLOOKUP($B10&amp;"4",Data!$C:$G,2,FALSE)</f>
        <v>13</v>
      </c>
      <c r="S10" s="158">
        <f>VLOOKUP($B10&amp;"4",Data!$C:$G,4,FALSE)</f>
        <v>1.3113425925925926E-2</v>
      </c>
      <c r="T10" s="159">
        <f>VLOOKUP($B10&amp;"4",Data!$C:$G,5,FALSE)</f>
        <v>4.5</v>
      </c>
      <c r="U10" s="160">
        <f t="shared" si="11"/>
        <v>2.9140946502057615E-3</v>
      </c>
      <c r="V10" s="136"/>
      <c r="W10" s="161">
        <f t="shared" si="12"/>
        <v>18.32</v>
      </c>
      <c r="X10" s="162">
        <f t="shared" si="13"/>
        <v>5.1388888888888887E-2</v>
      </c>
      <c r="Y10" s="160">
        <f t="shared" si="14"/>
        <v>2.8050703541969914E-3</v>
      </c>
      <c r="Z10" s="136"/>
      <c r="AA10" s="156">
        <f t="shared" si="7"/>
        <v>8</v>
      </c>
      <c r="AB10" s="156">
        <f>VLOOKUP(B10,'Team Selection'!$J$14:$L$49,3,FALSE)</f>
        <v>8</v>
      </c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1:37" s="4" customFormat="1" x14ac:dyDescent="0.2">
      <c r="A11" s="163"/>
      <c r="B11" s="137"/>
      <c r="C11" s="163"/>
      <c r="D11" s="164"/>
      <c r="E11" s="165"/>
      <c r="F11" s="164"/>
      <c r="G11" s="137"/>
      <c r="H11" s="163"/>
      <c r="I11" s="164"/>
      <c r="J11" s="165"/>
      <c r="K11" s="164"/>
      <c r="L11" s="137"/>
      <c r="M11" s="163"/>
      <c r="N11" s="164"/>
      <c r="O11" s="165"/>
      <c r="P11" s="164"/>
      <c r="Q11" s="137"/>
      <c r="R11" s="163"/>
      <c r="S11" s="164"/>
      <c r="T11" s="165"/>
      <c r="U11" s="164"/>
      <c r="V11" s="137"/>
      <c r="W11" s="165"/>
      <c r="X11" s="164"/>
      <c r="Y11" s="164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</row>
    <row r="12" spans="1:37" s="4" customFormat="1" x14ac:dyDescent="0.2">
      <c r="A12" s="163"/>
      <c r="B12" s="137"/>
      <c r="C12" s="163"/>
      <c r="D12" s="164"/>
      <c r="E12" s="165"/>
      <c r="F12" s="164"/>
      <c r="G12" s="137"/>
      <c r="H12" s="163"/>
      <c r="I12" s="164"/>
      <c r="J12" s="165"/>
      <c r="K12" s="164"/>
      <c r="L12" s="137"/>
      <c r="M12" s="163"/>
      <c r="N12" s="164"/>
      <c r="O12" s="165"/>
      <c r="P12" s="164"/>
      <c r="Q12" s="137"/>
      <c r="R12" s="163"/>
      <c r="S12" s="164"/>
      <c r="T12" s="165"/>
      <c r="U12" s="164"/>
      <c r="V12" s="137"/>
      <c r="W12" s="138" t="s">
        <v>39</v>
      </c>
      <c r="X12" s="139" t="s">
        <v>39</v>
      </c>
      <c r="Y12" s="139" t="s">
        <v>40</v>
      </c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</row>
    <row r="13" spans="1:37" x14ac:dyDescent="0.2">
      <c r="A13" s="140"/>
      <c r="B13" s="141" t="s">
        <v>29</v>
      </c>
      <c r="C13" s="166" t="s">
        <v>11</v>
      </c>
      <c r="D13" s="144" t="s">
        <v>7</v>
      </c>
      <c r="E13" s="145" t="s">
        <v>32</v>
      </c>
      <c r="F13" s="144" t="s">
        <v>8</v>
      </c>
      <c r="G13" s="136"/>
      <c r="H13" s="143" t="s">
        <v>11</v>
      </c>
      <c r="I13" s="144" t="s">
        <v>7</v>
      </c>
      <c r="J13" s="145" t="s">
        <v>32</v>
      </c>
      <c r="K13" s="144" t="s">
        <v>8</v>
      </c>
      <c r="L13" s="136"/>
      <c r="M13" s="143" t="s">
        <v>11</v>
      </c>
      <c r="N13" s="144" t="s">
        <v>7</v>
      </c>
      <c r="O13" s="145" t="s">
        <v>32</v>
      </c>
      <c r="P13" s="144" t="s">
        <v>8</v>
      </c>
      <c r="Q13" s="136"/>
      <c r="R13" s="143" t="s">
        <v>11</v>
      </c>
      <c r="S13" s="144" t="s">
        <v>7</v>
      </c>
      <c r="T13" s="145" t="s">
        <v>32</v>
      </c>
      <c r="U13" s="144" t="s">
        <v>8</v>
      </c>
      <c r="V13" s="136"/>
      <c r="W13" s="167" t="s">
        <v>38</v>
      </c>
      <c r="X13" s="147" t="s">
        <v>7</v>
      </c>
      <c r="Y13" s="168" t="s">
        <v>8</v>
      </c>
      <c r="Z13" s="136"/>
      <c r="AA13" s="143" t="s">
        <v>10</v>
      </c>
      <c r="AB13" s="143" t="s">
        <v>62</v>
      </c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1:37" x14ac:dyDescent="0.2">
      <c r="A14" s="148"/>
      <c r="B14" s="169" t="str">
        <f>+'Team Selection'!F3</f>
        <v>Matt Adams</v>
      </c>
      <c r="C14" s="150">
        <f>VLOOKUP($B14&amp;"1",Data!$C:$G,2,FALSE)</f>
        <v>1</v>
      </c>
      <c r="D14" s="151">
        <f>VLOOKUP($B14&amp;"1",Data!$C:$G,4,FALSE)</f>
        <v>8.9583333333333338E-3</v>
      </c>
      <c r="E14" s="152">
        <f>VLOOKUP($B14&amp;"1",Data!$C:$G,5,FALSE)</f>
        <v>3.39</v>
      </c>
      <c r="F14" s="153">
        <f t="shared" ref="F14" si="15">+D14/E14</f>
        <v>2.642576204523107E-3</v>
      </c>
      <c r="G14" s="136"/>
      <c r="H14" s="150">
        <f>VLOOKUP($B14&amp;"2",Data!$C:$G,2,FALSE)</f>
        <v>5</v>
      </c>
      <c r="I14" s="151">
        <f>VLOOKUP($B14&amp;"2",Data!$C:$G,4,FALSE)</f>
        <v>1.2199074074074072E-2</v>
      </c>
      <c r="J14" s="152">
        <f>VLOOKUP($B14&amp;"2",Data!$C:$G,5,FALSE)</f>
        <v>4</v>
      </c>
      <c r="K14" s="153">
        <f t="shared" ref="K14" si="16">+I14/J14</f>
        <v>3.0497685185185181E-3</v>
      </c>
      <c r="L14" s="136"/>
      <c r="M14" s="150">
        <f>VLOOKUP($B14&amp;"3",Data!$C:$G,2,FALSE)</f>
        <v>10</v>
      </c>
      <c r="N14" s="151">
        <f>VLOOKUP($B14&amp;"3",Data!$C:$G,4,FALSE)</f>
        <v>1.1041666666666667E-2</v>
      </c>
      <c r="O14" s="152">
        <f>VLOOKUP($B14&amp;"3",Data!$C:$G,5,FALSE)</f>
        <v>3.7</v>
      </c>
      <c r="P14" s="153">
        <f t="shared" ref="P14" si="17">+N14/O14</f>
        <v>2.9842342342342341E-3</v>
      </c>
      <c r="Q14" s="136"/>
      <c r="R14" s="150">
        <f>VLOOKUP($B14&amp;"4",Data!$C:$G,2,FALSE)</f>
        <v>14</v>
      </c>
      <c r="S14" s="151">
        <f>VLOOKUP($B14&amp;"4",Data!$C:$G,4,FALSE)</f>
        <v>1.1273148148148148E-2</v>
      </c>
      <c r="T14" s="152">
        <f>VLOOKUP($B14&amp;"4",Data!$C:$G,5,FALSE)</f>
        <v>4.21</v>
      </c>
      <c r="U14" s="153">
        <f t="shared" ref="U14" si="18">+S14/T14</f>
        <v>2.6777073986100114E-3</v>
      </c>
      <c r="V14" s="136"/>
      <c r="W14" s="154">
        <f t="shared" ref="W14" si="19">SUM(E14,J14,O14,T14)</f>
        <v>15.3</v>
      </c>
      <c r="X14" s="155">
        <f t="shared" ref="X14" si="20">SUM(D14,I14,N14,S14)</f>
        <v>4.3472222222222225E-2</v>
      </c>
      <c r="Y14" s="153">
        <f t="shared" ref="Y14" si="21">SUM(D14,I14,N14,S14)/W14</f>
        <v>2.8413217138707333E-3</v>
      </c>
      <c r="Z14" s="136"/>
      <c r="AA14" s="143">
        <f t="shared" ref="AA14:AA21" si="22">RANK(Y14,Y$14:Y$21,1)</f>
        <v>7</v>
      </c>
      <c r="AB14" s="143">
        <f>VLOOKUP(B14,'Team Selection'!$J$14:$L$49,3,FALSE)</f>
        <v>15</v>
      </c>
      <c r="AC14" s="136"/>
      <c r="AD14" s="136"/>
      <c r="AE14" s="136"/>
      <c r="AF14" s="136"/>
      <c r="AG14" s="136"/>
      <c r="AH14" s="136"/>
      <c r="AI14" s="136"/>
      <c r="AJ14" s="136"/>
      <c r="AK14" s="136"/>
    </row>
    <row r="15" spans="1:37" x14ac:dyDescent="0.2">
      <c r="A15" s="148"/>
      <c r="B15" s="169" t="str">
        <f>+'Team Selection'!F4</f>
        <v>Scott Stacey</v>
      </c>
      <c r="C15" s="150">
        <f>VLOOKUP($B15&amp;"1",Data!$C:$G,2,FALSE)</f>
        <v>2</v>
      </c>
      <c r="D15" s="151">
        <f>VLOOKUP($B15&amp;"1",Data!$C:$G,4,FALSE)</f>
        <v>8.7962962962962968E-3</v>
      </c>
      <c r="E15" s="152">
        <f>VLOOKUP($B15&amp;"1",Data!$C:$G,5,FALSE)</f>
        <v>3.39</v>
      </c>
      <c r="F15" s="153">
        <f t="shared" ref="F15:F21" si="23">+D15/E15</f>
        <v>2.5947776685239813E-3</v>
      </c>
      <c r="G15" s="136"/>
      <c r="H15" s="150">
        <f>VLOOKUP($B15&amp;"2",Data!$C:$G,2,FALSE)</f>
        <v>6</v>
      </c>
      <c r="I15" s="151">
        <f>VLOOKUP($B15&amp;"2",Data!$C:$G,4,FALSE)</f>
        <v>1.019675925925926E-2</v>
      </c>
      <c r="J15" s="152">
        <f>VLOOKUP($B15&amp;"2",Data!$C:$G,5,FALSE)</f>
        <v>4.2699999999999996</v>
      </c>
      <c r="K15" s="153">
        <f t="shared" ref="K15:K21" si="24">+I15/J15</f>
        <v>2.3879998265244171E-3</v>
      </c>
      <c r="L15" s="136"/>
      <c r="M15" s="150">
        <f>VLOOKUP($B15&amp;"3",Data!$C:$G,2,FALSE)</f>
        <v>12</v>
      </c>
      <c r="N15" s="151">
        <f>VLOOKUP($B15&amp;"3",Data!$C:$G,4,FALSE)</f>
        <v>1.1157407407407408E-2</v>
      </c>
      <c r="O15" s="152">
        <f>VLOOKUP($B15&amp;"3",Data!$C:$G,5,FALSE)</f>
        <v>4.5</v>
      </c>
      <c r="P15" s="153">
        <f t="shared" ref="P15:P21" si="25">+N15/O15</f>
        <v>2.4794238683127573E-3</v>
      </c>
      <c r="Q15" s="136"/>
      <c r="R15" s="150">
        <f>VLOOKUP($B15&amp;"4",Data!$C:$G,2,FALSE)</f>
        <v>15</v>
      </c>
      <c r="S15" s="151">
        <f>VLOOKUP($B15&amp;"4",Data!$C:$G,4,FALSE)</f>
        <v>1.0717592592592593E-2</v>
      </c>
      <c r="T15" s="152">
        <f>VLOOKUP($B15&amp;"4",Data!$C:$G,5,FALSE)</f>
        <v>4.49</v>
      </c>
      <c r="U15" s="153">
        <f t="shared" ref="U15:U21" si="26">+S15/T15</f>
        <v>2.3869916687288624E-3</v>
      </c>
      <c r="V15" s="136"/>
      <c r="W15" s="154">
        <f t="shared" ref="W15:W21" si="27">SUM(E15,J15,O15,T15)</f>
        <v>16.649999999999999</v>
      </c>
      <c r="X15" s="155">
        <f t="shared" ref="X15:X21" si="28">SUM(D15,I15,N15,S15)</f>
        <v>4.0868055555555553E-2</v>
      </c>
      <c r="Y15" s="153">
        <f t="shared" ref="Y15:Y21" si="29">SUM(D15,I15,N15,S15)/W15</f>
        <v>2.4545378712045379E-3</v>
      </c>
      <c r="Z15" s="136"/>
      <c r="AA15" s="156">
        <f t="shared" si="22"/>
        <v>1</v>
      </c>
      <c r="AB15" s="156">
        <f>VLOOKUP(B15,'Team Selection'!$J$14:$L$49,3,FALSE)</f>
        <v>16</v>
      </c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1:37" x14ac:dyDescent="0.2">
      <c r="A16" s="148"/>
      <c r="B16" s="169" t="str">
        <f>+'Team Selection'!F5</f>
        <v>Glenn Carroll</v>
      </c>
      <c r="C16" s="150">
        <f>VLOOKUP($B16&amp;"1",Data!$C:$G,2,FALSE)</f>
        <v>2</v>
      </c>
      <c r="D16" s="151">
        <f>VLOOKUP($B16&amp;"1",Data!$C:$G,4,FALSE)</f>
        <v>9.0393518518518522E-3</v>
      </c>
      <c r="E16" s="152">
        <f>VLOOKUP($B16&amp;"1",Data!$C:$G,5,FALSE)</f>
        <v>3.39</v>
      </c>
      <c r="F16" s="153">
        <f t="shared" si="23"/>
        <v>2.66647547252267E-3</v>
      </c>
      <c r="G16" s="136"/>
      <c r="H16" s="150">
        <f>VLOOKUP($B16&amp;"2",Data!$C:$G,2,FALSE)</f>
        <v>6</v>
      </c>
      <c r="I16" s="151">
        <f>VLOOKUP($B16&amp;"2",Data!$C:$G,4,FALSE)</f>
        <v>1.0474537037037037E-2</v>
      </c>
      <c r="J16" s="152">
        <f>VLOOKUP($B16&amp;"2",Data!$C:$G,5,FALSE)</f>
        <v>4.2699999999999996</v>
      </c>
      <c r="K16" s="153">
        <f t="shared" si="24"/>
        <v>2.4530531702662852E-3</v>
      </c>
      <c r="L16" s="136"/>
      <c r="M16" s="150">
        <f>VLOOKUP($B16&amp;"3",Data!$C:$G,2,FALSE)</f>
        <v>10</v>
      </c>
      <c r="N16" s="151">
        <f>VLOOKUP($B16&amp;"3",Data!$C:$G,4,FALSE)</f>
        <v>1.0717592592592593E-2</v>
      </c>
      <c r="O16" s="152">
        <f>VLOOKUP($B16&amp;"3",Data!$C:$G,5,FALSE)</f>
        <v>3.7</v>
      </c>
      <c r="P16" s="153">
        <f t="shared" si="25"/>
        <v>2.8966466466466465E-3</v>
      </c>
      <c r="Q16" s="136"/>
      <c r="R16" s="150">
        <f>VLOOKUP($B16&amp;"4",Data!$C:$G,2,FALSE)</f>
        <v>13</v>
      </c>
      <c r="S16" s="151">
        <f>VLOOKUP($B16&amp;"4",Data!$C:$G,4,FALSE)</f>
        <v>1.2731481481481481E-2</v>
      </c>
      <c r="T16" s="152">
        <f>VLOOKUP($B16&amp;"4",Data!$C:$G,5,FALSE)</f>
        <v>4.5</v>
      </c>
      <c r="U16" s="153">
        <f t="shared" si="26"/>
        <v>2.8292181069958845E-3</v>
      </c>
      <c r="V16" s="136"/>
      <c r="W16" s="154">
        <f t="shared" si="27"/>
        <v>15.86</v>
      </c>
      <c r="X16" s="155">
        <f t="shared" si="28"/>
        <v>4.2962962962962967E-2</v>
      </c>
      <c r="Y16" s="153">
        <f t="shared" si="29"/>
        <v>2.7088879547895943E-3</v>
      </c>
      <c r="Z16" s="136"/>
      <c r="AA16" s="156">
        <f t="shared" si="22"/>
        <v>5</v>
      </c>
      <c r="AB16" s="156">
        <f>VLOOKUP(B16,'Team Selection'!$J$14:$L$49,3,FALSE)</f>
        <v>14</v>
      </c>
      <c r="AC16" s="136"/>
      <c r="AD16" s="136"/>
      <c r="AE16" s="136"/>
      <c r="AF16" s="136"/>
      <c r="AG16" s="136"/>
      <c r="AH16" s="136"/>
      <c r="AI16" s="136"/>
      <c r="AJ16" s="136"/>
      <c r="AK16" s="136"/>
    </row>
    <row r="17" spans="1:37" x14ac:dyDescent="0.2">
      <c r="A17" s="148"/>
      <c r="B17" s="169" t="str">
        <f>+'Team Selection'!F6</f>
        <v>Chris Wright</v>
      </c>
      <c r="C17" s="150">
        <f>VLOOKUP($B17&amp;"1",Data!$C:$G,2,FALSE)</f>
        <v>2</v>
      </c>
      <c r="D17" s="151">
        <f>VLOOKUP($B17&amp;"1",Data!$C:$G,4,FALSE)</f>
        <v>8.9814814814814809E-3</v>
      </c>
      <c r="E17" s="152">
        <f>VLOOKUP($B17&amp;"1",Data!$C:$G,5,FALSE)</f>
        <v>3.39</v>
      </c>
      <c r="F17" s="153">
        <f t="shared" si="23"/>
        <v>2.6494045668086965E-3</v>
      </c>
      <c r="G17" s="136"/>
      <c r="H17" s="150">
        <f>VLOOKUP($B17&amp;"2",Data!$C:$G,2,FALSE)</f>
        <v>6</v>
      </c>
      <c r="I17" s="151">
        <f>VLOOKUP($B17&amp;"2",Data!$C:$G,4,FALSE)</f>
        <v>1.1030092592592591E-2</v>
      </c>
      <c r="J17" s="152">
        <f>VLOOKUP($B17&amp;"2",Data!$C:$G,5,FALSE)</f>
        <v>4.2699999999999996</v>
      </c>
      <c r="K17" s="153">
        <f t="shared" si="24"/>
        <v>2.5831598577500219E-3</v>
      </c>
      <c r="L17" s="136"/>
      <c r="M17" s="150">
        <f>VLOOKUP($B17&amp;"3",Data!$C:$G,2,FALSE)</f>
        <v>12</v>
      </c>
      <c r="N17" s="151">
        <f>VLOOKUP($B17&amp;"3",Data!$C:$G,4,FALSE)</f>
        <v>1.1678240740740741E-2</v>
      </c>
      <c r="O17" s="152">
        <f>VLOOKUP($B17&amp;"3",Data!$C:$G,5,FALSE)</f>
        <v>4.5</v>
      </c>
      <c r="P17" s="153">
        <f t="shared" si="25"/>
        <v>2.5951646090534978E-3</v>
      </c>
      <c r="Q17" s="136"/>
      <c r="R17" s="150">
        <f>VLOOKUP($B17&amp;"4",Data!$C:$G,2,FALSE)</f>
        <v>15</v>
      </c>
      <c r="S17" s="151">
        <f>VLOOKUP($B17&amp;"4",Data!$C:$G,4,FALSE)</f>
        <v>1.1481481481481483E-2</v>
      </c>
      <c r="T17" s="152">
        <f>VLOOKUP($B17&amp;"4",Data!$C:$G,5,FALSE)</f>
        <v>4.49</v>
      </c>
      <c r="U17" s="153">
        <f t="shared" si="26"/>
        <v>2.5571228243834038E-3</v>
      </c>
      <c r="V17" s="136"/>
      <c r="W17" s="154">
        <f t="shared" si="27"/>
        <v>16.649999999999999</v>
      </c>
      <c r="X17" s="155">
        <f t="shared" si="28"/>
        <v>4.3171296296296291E-2</v>
      </c>
      <c r="Y17" s="153">
        <f t="shared" si="29"/>
        <v>2.5928706484262039E-3</v>
      </c>
      <c r="Z17" s="136"/>
      <c r="AA17" s="156">
        <f t="shared" si="22"/>
        <v>2</v>
      </c>
      <c r="AB17" s="156">
        <f>VLOOKUP(B17,'Team Selection'!$J$14:$L$49,3,FALSE)</f>
        <v>12</v>
      </c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1:37" x14ac:dyDescent="0.2">
      <c r="A18" s="148"/>
      <c r="B18" s="169" t="str">
        <f>+'Team Selection'!F7</f>
        <v>Garth Calder</v>
      </c>
      <c r="C18" s="150">
        <f>VLOOKUP($B18&amp;"1",Data!$C:$G,2,FALSE)</f>
        <v>2</v>
      </c>
      <c r="D18" s="151">
        <f>VLOOKUP($B18&amp;"1",Data!$C:$G,4,FALSE)</f>
        <v>9.3981481481481485E-3</v>
      </c>
      <c r="E18" s="152">
        <f>VLOOKUP($B18&amp;"1",Data!$C:$G,5,FALSE)</f>
        <v>3.39</v>
      </c>
      <c r="F18" s="153">
        <f t="shared" si="23"/>
        <v>2.7723150879493063E-3</v>
      </c>
      <c r="G18" s="136"/>
      <c r="H18" s="150">
        <f>VLOOKUP($B18&amp;"2",Data!$C:$G,2,FALSE)</f>
        <v>6</v>
      </c>
      <c r="I18" s="151">
        <f>VLOOKUP($B18&amp;"2",Data!$C:$G,4,FALSE)</f>
        <v>1.1157407407407408E-2</v>
      </c>
      <c r="J18" s="152">
        <f>VLOOKUP($B18&amp;"2",Data!$C:$G,5,FALSE)</f>
        <v>4.2699999999999996</v>
      </c>
      <c r="K18" s="153">
        <f t="shared" si="24"/>
        <v>2.6129759736317117E-3</v>
      </c>
      <c r="L18" s="136"/>
      <c r="M18" s="150">
        <f>VLOOKUP($B18&amp;"3",Data!$C:$G,2,FALSE)</f>
        <v>12</v>
      </c>
      <c r="N18" s="151">
        <f>VLOOKUP($B18&amp;"3",Data!$C:$G,4,FALSE)</f>
        <v>1.1956018518518517E-2</v>
      </c>
      <c r="O18" s="152">
        <f>VLOOKUP($B18&amp;"3",Data!$C:$G,5,FALSE)</f>
        <v>4.5</v>
      </c>
      <c r="P18" s="153">
        <f t="shared" si="25"/>
        <v>2.656893004115226E-3</v>
      </c>
      <c r="Q18" s="136"/>
      <c r="R18" s="150">
        <f>VLOOKUP($B18&amp;"4",Data!$C:$G,2,FALSE)</f>
        <v>15</v>
      </c>
      <c r="S18" s="151">
        <f>VLOOKUP($B18&amp;"4",Data!$C:$G,4,FALSE)</f>
        <v>1.1423611111111112E-2</v>
      </c>
      <c r="T18" s="152">
        <f>VLOOKUP($B18&amp;"4",Data!$C:$G,5,FALSE)</f>
        <v>4.49</v>
      </c>
      <c r="U18" s="153">
        <f t="shared" si="26"/>
        <v>2.5442341004701806E-3</v>
      </c>
      <c r="V18" s="136"/>
      <c r="W18" s="154">
        <f t="shared" si="27"/>
        <v>16.649999999999999</v>
      </c>
      <c r="X18" s="155">
        <f t="shared" si="28"/>
        <v>4.3935185185185188E-2</v>
      </c>
      <c r="Y18" s="153">
        <f t="shared" si="29"/>
        <v>2.6387498609720837E-3</v>
      </c>
      <c r="Z18" s="136"/>
      <c r="AA18" s="156">
        <f t="shared" si="22"/>
        <v>3</v>
      </c>
      <c r="AB18" s="156">
        <f>VLOOKUP(B18,'Team Selection'!$J$14:$L$49,3,FALSE)</f>
        <v>13</v>
      </c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1:37" x14ac:dyDescent="0.2">
      <c r="A19" s="148"/>
      <c r="B19" s="169" t="str">
        <f>+'Team Selection'!F8</f>
        <v>James Howe</v>
      </c>
      <c r="C19" s="150">
        <f>VLOOKUP($B19&amp;"1",Data!$C:$G,2,FALSE)</f>
        <v>1</v>
      </c>
      <c r="D19" s="151">
        <f>VLOOKUP($B19&amp;"1",Data!$C:$G,4,FALSE)</f>
        <v>9.1203703703703707E-3</v>
      </c>
      <c r="E19" s="152">
        <f>VLOOKUP($B19&amp;"1",Data!$C:$G,5,FALSE)</f>
        <v>3.39</v>
      </c>
      <c r="F19" s="153">
        <f t="shared" si="23"/>
        <v>2.6903747405222331E-3</v>
      </c>
      <c r="G19" s="136"/>
      <c r="H19" s="150">
        <f>VLOOKUP($B19&amp;"2",Data!$C:$G,2,FALSE)</f>
        <v>5</v>
      </c>
      <c r="I19" s="151">
        <f>VLOOKUP($B19&amp;"2",Data!$C:$G,4,FALSE)</f>
        <v>1.2106481481481482E-2</v>
      </c>
      <c r="J19" s="152">
        <f>VLOOKUP($B19&amp;"2",Data!$C:$G,5,FALSE)</f>
        <v>4</v>
      </c>
      <c r="K19" s="153">
        <f t="shared" si="24"/>
        <v>3.0266203703703705E-3</v>
      </c>
      <c r="L19" s="136"/>
      <c r="M19" s="150">
        <f>VLOOKUP($B19&amp;"3",Data!$C:$G,2,FALSE)</f>
        <v>10</v>
      </c>
      <c r="N19" s="151">
        <f>VLOOKUP($B19&amp;"3",Data!$C:$G,4,FALSE)</f>
        <v>1.113425925925926E-2</v>
      </c>
      <c r="O19" s="152">
        <f>VLOOKUP($B19&amp;"3",Data!$C:$G,5,FALSE)</f>
        <v>3.7</v>
      </c>
      <c r="P19" s="153">
        <f t="shared" si="25"/>
        <v>3.0092592592592593E-3</v>
      </c>
      <c r="Q19" s="136"/>
      <c r="R19" s="150">
        <f>VLOOKUP($B19&amp;"4",Data!$C:$G,2,FALSE)</f>
        <v>13</v>
      </c>
      <c r="S19" s="151">
        <f>VLOOKUP($B19&amp;"4",Data!$C:$G,4,FALSE)</f>
        <v>1.375E-2</v>
      </c>
      <c r="T19" s="152">
        <f>VLOOKUP($B19&amp;"4",Data!$C:$G,5,FALSE)</f>
        <v>4.5</v>
      </c>
      <c r="U19" s="153">
        <f t="shared" si="26"/>
        <v>3.0555555555555557E-3</v>
      </c>
      <c r="V19" s="136"/>
      <c r="W19" s="154">
        <f t="shared" si="27"/>
        <v>15.59</v>
      </c>
      <c r="X19" s="155">
        <f t="shared" si="28"/>
        <v>4.611111111111111E-2</v>
      </c>
      <c r="Y19" s="153">
        <f t="shared" si="29"/>
        <v>2.9577364407383649E-3</v>
      </c>
      <c r="Z19" s="136"/>
      <c r="AA19" s="156">
        <f t="shared" si="22"/>
        <v>8</v>
      </c>
      <c r="AB19" s="156">
        <f>VLOOKUP(B19,'Team Selection'!$J$14:$L$49,3,FALSE)</f>
        <v>11</v>
      </c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1:37" x14ac:dyDescent="0.2">
      <c r="A20" s="148"/>
      <c r="B20" s="169" t="str">
        <f>+'Team Selection'!F9</f>
        <v>Scott Smith</v>
      </c>
      <c r="C20" s="150">
        <f>VLOOKUP($B20&amp;"1",Data!$C:$G,2,FALSE)</f>
        <v>1</v>
      </c>
      <c r="D20" s="151">
        <f>VLOOKUP($B20&amp;"1",Data!$C:$G,4,FALSE)</f>
        <v>9.0509259259259258E-3</v>
      </c>
      <c r="E20" s="152">
        <f>VLOOKUP($B20&amp;"1",Data!$C:$G,5,FALSE)</f>
        <v>3.39</v>
      </c>
      <c r="F20" s="153">
        <f t="shared" si="23"/>
        <v>2.6698896536654646E-3</v>
      </c>
      <c r="G20" s="136"/>
      <c r="H20" s="150">
        <f>VLOOKUP($B20&amp;"2",Data!$C:$G,2,FALSE)</f>
        <v>5</v>
      </c>
      <c r="I20" s="151">
        <f>VLOOKUP($B20&amp;"2",Data!$C:$G,4,FALSE)</f>
        <v>1.1759259259259259E-2</v>
      </c>
      <c r="J20" s="152">
        <f>VLOOKUP($B20&amp;"2",Data!$C:$G,5,FALSE)</f>
        <v>4</v>
      </c>
      <c r="K20" s="153">
        <f t="shared" si="24"/>
        <v>2.9398148148148148E-3</v>
      </c>
      <c r="L20" s="136"/>
      <c r="M20" s="150">
        <f>VLOOKUP($B20&amp;"3",Data!$C:$G,2,FALSE)</f>
        <v>10</v>
      </c>
      <c r="N20" s="151">
        <f>VLOOKUP($B20&amp;"3",Data!$C:$G,4,FALSE)</f>
        <v>1.0729166666666666E-2</v>
      </c>
      <c r="O20" s="152">
        <f>VLOOKUP($B20&amp;"3",Data!$C:$G,5,FALSE)</f>
        <v>3.7</v>
      </c>
      <c r="P20" s="153">
        <f t="shared" si="25"/>
        <v>2.8997747747747746E-3</v>
      </c>
      <c r="Q20" s="136"/>
      <c r="R20" s="150">
        <f>VLOOKUP($B20&amp;"4",Data!$C:$G,2,FALSE)</f>
        <v>16</v>
      </c>
      <c r="S20" s="151">
        <f>VLOOKUP($B20&amp;"4",Data!$C:$G,4,FALSE)</f>
        <v>9.6412037037037039E-3</v>
      </c>
      <c r="T20" s="152">
        <f>VLOOKUP($B20&amp;"4",Data!$C:$G,5,FALSE)</f>
        <v>3.66</v>
      </c>
      <c r="U20" s="153">
        <f t="shared" si="26"/>
        <v>2.6342086622141267E-3</v>
      </c>
      <c r="V20" s="136"/>
      <c r="W20" s="154">
        <f t="shared" si="27"/>
        <v>14.75</v>
      </c>
      <c r="X20" s="155">
        <f t="shared" si="28"/>
        <v>4.1180555555555554E-2</v>
      </c>
      <c r="Y20" s="153">
        <f t="shared" si="29"/>
        <v>2.7919020715630885E-3</v>
      </c>
      <c r="Z20" s="136"/>
      <c r="AA20" s="156">
        <f t="shared" si="22"/>
        <v>6</v>
      </c>
      <c r="AB20" s="156">
        <f>VLOOKUP(B20,'Team Selection'!$J$14:$L$49,3,FALSE)</f>
        <v>9</v>
      </c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1:37" x14ac:dyDescent="0.2">
      <c r="A21" s="148"/>
      <c r="B21" s="169" t="str">
        <f>+'Team Selection'!F10</f>
        <v>Richard Does</v>
      </c>
      <c r="C21" s="157">
        <f>VLOOKUP($B21&amp;"1",Data!$C:$G,2,FALSE)</f>
        <v>1</v>
      </c>
      <c r="D21" s="158">
        <f>VLOOKUP($B21&amp;"1",Data!$C:$G,4,FALSE)</f>
        <v>9.0162037037037034E-3</v>
      </c>
      <c r="E21" s="159">
        <f>VLOOKUP($B21&amp;"1",Data!$C:$G,5,FALSE)</f>
        <v>3.39</v>
      </c>
      <c r="F21" s="160">
        <f t="shared" si="23"/>
        <v>2.6596471102370805E-3</v>
      </c>
      <c r="G21" s="136"/>
      <c r="H21" s="157">
        <f>VLOOKUP($B21&amp;"2",Data!$C:$G,2,FALSE)</f>
        <v>5</v>
      </c>
      <c r="I21" s="158">
        <f>VLOOKUP($B21&amp;"2",Data!$C:$G,4,FALSE)</f>
        <v>1.1886574074074075E-2</v>
      </c>
      <c r="J21" s="159">
        <f>VLOOKUP($B21&amp;"2",Data!$C:$G,5,FALSE)</f>
        <v>4</v>
      </c>
      <c r="K21" s="160">
        <f t="shared" si="24"/>
        <v>2.9716435185185189E-3</v>
      </c>
      <c r="L21" s="136"/>
      <c r="M21" s="157">
        <f>VLOOKUP($B21&amp;"3",Data!$C:$G,2,FALSE)</f>
        <v>12</v>
      </c>
      <c r="N21" s="158">
        <f>VLOOKUP($B21&amp;"3",Data!$C:$G,4,FALSE)</f>
        <v>1.1539351851851851E-2</v>
      </c>
      <c r="O21" s="159">
        <f>VLOOKUP($B21&amp;"3",Data!$C:$G,5,FALSE)</f>
        <v>4.5</v>
      </c>
      <c r="P21" s="160">
        <f t="shared" si="25"/>
        <v>2.5643004115226335E-3</v>
      </c>
      <c r="Q21" s="136"/>
      <c r="R21" s="157">
        <f>VLOOKUP($B21&amp;"4",Data!$C:$G,2,FALSE)</f>
        <v>15</v>
      </c>
      <c r="S21" s="158">
        <f>VLOOKUP($B21&amp;"4",Data!$C:$G,4,FALSE)</f>
        <v>1.1469907407407408E-2</v>
      </c>
      <c r="T21" s="159">
        <f>VLOOKUP($B21&amp;"4",Data!$C:$G,5,FALSE)</f>
        <v>4.49</v>
      </c>
      <c r="U21" s="160">
        <f t="shared" si="26"/>
        <v>2.5545450796007588E-3</v>
      </c>
      <c r="V21" s="136"/>
      <c r="W21" s="161">
        <f t="shared" si="27"/>
        <v>16.380000000000003</v>
      </c>
      <c r="X21" s="162">
        <f t="shared" si="28"/>
        <v>4.3912037037037034E-2</v>
      </c>
      <c r="Y21" s="160">
        <f t="shared" si="29"/>
        <v>2.6808325419436525E-3</v>
      </c>
      <c r="Z21" s="136"/>
      <c r="AA21" s="156">
        <f t="shared" si="22"/>
        <v>4</v>
      </c>
      <c r="AB21" s="156">
        <f>VLOOKUP(B21,'Team Selection'!$J$14:$L$49,3,FALSE)</f>
        <v>10</v>
      </c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1:37" x14ac:dyDescent="0.2">
      <c r="A22" s="163"/>
      <c r="B22" s="137"/>
      <c r="C22" s="163"/>
      <c r="D22" s="164"/>
      <c r="E22" s="165"/>
      <c r="F22" s="164"/>
      <c r="G22" s="137"/>
      <c r="H22" s="163"/>
      <c r="I22" s="164"/>
      <c r="J22" s="165"/>
      <c r="K22" s="164"/>
      <c r="L22" s="137"/>
      <c r="M22" s="163"/>
      <c r="N22" s="164"/>
      <c r="O22" s="165"/>
      <c r="P22" s="164"/>
      <c r="Q22" s="137"/>
      <c r="R22" s="163"/>
      <c r="S22" s="164"/>
      <c r="T22" s="165"/>
      <c r="U22" s="164"/>
      <c r="V22" s="136"/>
      <c r="W22" s="170"/>
      <c r="X22" s="164"/>
      <c r="Y22" s="164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1:37" x14ac:dyDescent="0.2">
      <c r="A23" s="163"/>
      <c r="B23" s="137"/>
      <c r="C23" s="163"/>
      <c r="D23" s="164"/>
      <c r="E23" s="165"/>
      <c r="F23" s="164"/>
      <c r="G23" s="137"/>
      <c r="H23" s="163"/>
      <c r="I23" s="164"/>
      <c r="J23" s="165"/>
      <c r="K23" s="164"/>
      <c r="L23" s="137"/>
      <c r="M23" s="163"/>
      <c r="N23" s="164"/>
      <c r="O23" s="165"/>
      <c r="P23" s="164"/>
      <c r="Q23" s="137"/>
      <c r="R23" s="163"/>
      <c r="S23" s="164"/>
      <c r="T23" s="165"/>
      <c r="U23" s="164"/>
      <c r="V23" s="136"/>
      <c r="W23" s="138" t="s">
        <v>39</v>
      </c>
      <c r="X23" s="139" t="s">
        <v>39</v>
      </c>
      <c r="Y23" s="139" t="s">
        <v>40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x14ac:dyDescent="0.2">
      <c r="A24" s="140"/>
      <c r="B24" s="141" t="s">
        <v>30</v>
      </c>
      <c r="C24" s="166" t="s">
        <v>11</v>
      </c>
      <c r="D24" s="144" t="s">
        <v>7</v>
      </c>
      <c r="E24" s="145" t="s">
        <v>32</v>
      </c>
      <c r="F24" s="144" t="s">
        <v>8</v>
      </c>
      <c r="G24" s="136"/>
      <c r="H24" s="143" t="s">
        <v>11</v>
      </c>
      <c r="I24" s="144" t="s">
        <v>7</v>
      </c>
      <c r="J24" s="145" t="s">
        <v>32</v>
      </c>
      <c r="K24" s="144" t="s">
        <v>8</v>
      </c>
      <c r="L24" s="136"/>
      <c r="M24" s="143" t="s">
        <v>11</v>
      </c>
      <c r="N24" s="144" t="s">
        <v>7</v>
      </c>
      <c r="O24" s="145" t="s">
        <v>32</v>
      </c>
      <c r="P24" s="144" t="s">
        <v>8</v>
      </c>
      <c r="Q24" s="136"/>
      <c r="R24" s="143" t="s">
        <v>11</v>
      </c>
      <c r="S24" s="144" t="s">
        <v>7</v>
      </c>
      <c r="T24" s="145" t="s">
        <v>32</v>
      </c>
      <c r="U24" s="144" t="s">
        <v>8</v>
      </c>
      <c r="V24" s="136"/>
      <c r="W24" s="167" t="s">
        <v>38</v>
      </c>
      <c r="X24" s="147" t="s">
        <v>7</v>
      </c>
      <c r="Y24" s="168" t="s">
        <v>8</v>
      </c>
      <c r="Z24" s="136"/>
      <c r="AA24" s="143" t="s">
        <v>10</v>
      </c>
      <c r="AB24" s="143" t="s">
        <v>62</v>
      </c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1:37" x14ac:dyDescent="0.2">
      <c r="A25" s="148"/>
      <c r="B25" s="169" t="str">
        <f>+'Team Selection'!H3</f>
        <v>Beata Janetzki</v>
      </c>
      <c r="C25" s="150">
        <f>VLOOKUP($B25&amp;"1",Data!$C:$G,2,FALSE)</f>
        <v>2</v>
      </c>
      <c r="D25" s="151">
        <f>VLOOKUP($B25&amp;"1",Data!$C:$G,4,FALSE)</f>
        <v>9.7106481481481471E-3</v>
      </c>
      <c r="E25" s="152">
        <f>VLOOKUP($B25&amp;"1",Data!$C:$G,5,FALSE)</f>
        <v>3.39</v>
      </c>
      <c r="F25" s="153">
        <f t="shared" ref="F25" si="30">+D25/E25</f>
        <v>2.8644979788047631E-3</v>
      </c>
      <c r="G25" s="136"/>
      <c r="H25" s="150">
        <f>VLOOKUP($B25&amp;"2",Data!$C:$G,2,FALSE)</f>
        <v>6</v>
      </c>
      <c r="I25" s="151">
        <f>VLOOKUP($B25&amp;"2",Data!$C:$G,4,FALSE)</f>
        <v>1.1284722222222222E-2</v>
      </c>
      <c r="J25" s="152">
        <f>VLOOKUP($B25&amp;"2",Data!$C:$G,5,FALSE)</f>
        <v>4.2699999999999996</v>
      </c>
      <c r="K25" s="153">
        <f t="shared" ref="K25" si="31">+I25/J25</f>
        <v>2.6427920895134012E-3</v>
      </c>
      <c r="L25" s="136"/>
      <c r="M25" s="150">
        <f>VLOOKUP($B25&amp;"3",Data!$C:$G,2,FALSE)</f>
        <v>12</v>
      </c>
      <c r="N25" s="151">
        <f>VLOOKUP($B25&amp;"3",Data!$C:$G,4,FALSE)</f>
        <v>1.255787037037037E-2</v>
      </c>
      <c r="O25" s="152">
        <f>VLOOKUP($B25&amp;"3",Data!$C:$G,5,FALSE)</f>
        <v>4.5</v>
      </c>
      <c r="P25" s="153">
        <f t="shared" ref="P25" si="32">+N25/O25</f>
        <v>2.7906378600823043E-3</v>
      </c>
      <c r="Q25" s="136"/>
      <c r="R25" s="150">
        <f>VLOOKUP($B25&amp;"4",Data!$C:$G,2,FALSE)</f>
        <v>16</v>
      </c>
      <c r="S25" s="151">
        <f>VLOOKUP($B25&amp;"4",Data!$C:$G,4,FALSE)</f>
        <v>1.0266203703703703E-2</v>
      </c>
      <c r="T25" s="152">
        <f>VLOOKUP($B25&amp;"4",Data!$C:$G,5,FALSE)</f>
        <v>3.66</v>
      </c>
      <c r="U25" s="153">
        <f t="shared" ref="U25" si="33">+S25/T25</f>
        <v>2.8049736895365308E-3</v>
      </c>
      <c r="V25" s="136"/>
      <c r="W25" s="154">
        <f t="shared" ref="W25" si="34">SUM(E25,J25,O25,T25)</f>
        <v>15.82</v>
      </c>
      <c r="X25" s="155">
        <f t="shared" ref="X25" si="35">SUM(D25,I25,N25,S25)</f>
        <v>4.3819444444444439E-2</v>
      </c>
      <c r="Y25" s="153">
        <f t="shared" ref="Y25" si="36">SUM(D25,I25,N25,S25)/W25</f>
        <v>2.7698763871330241E-3</v>
      </c>
      <c r="Z25" s="136"/>
      <c r="AA25" s="143">
        <f t="shared" ref="AA25:AA32" si="37">RANK(Y25,Y$25:Y$32,1)</f>
        <v>2</v>
      </c>
      <c r="AB25" s="143">
        <f>VLOOKUP(B25,'Team Selection'!$J$14:$L$49,3,FALSE)</f>
        <v>21</v>
      </c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x14ac:dyDescent="0.2">
      <c r="A26" s="148"/>
      <c r="B26" s="169" t="str">
        <f>+'Team Selection'!H4</f>
        <v>Shane Fielding</v>
      </c>
      <c r="C26" s="150">
        <f>VLOOKUP($B26&amp;"1",Data!$C:$G,2,FALSE)</f>
        <v>1</v>
      </c>
      <c r="D26" s="151">
        <f>VLOOKUP($B26&amp;"1",Data!$C:$G,4,FALSE)</f>
        <v>9.571759259259259E-3</v>
      </c>
      <c r="E26" s="152">
        <f>VLOOKUP($B26&amp;"1",Data!$C:$G,5,FALSE)</f>
        <v>3.39</v>
      </c>
      <c r="F26" s="153">
        <f t="shared" ref="F26:F32" si="38">+D26/E26</f>
        <v>2.8235278050912269E-3</v>
      </c>
      <c r="G26" s="136"/>
      <c r="H26" s="150">
        <f>VLOOKUP($B26&amp;"2",Data!$C:$G,2,FALSE)</f>
        <v>5</v>
      </c>
      <c r="I26" s="151">
        <f>VLOOKUP($B26&amp;"2",Data!$C:$G,4,FALSE)</f>
        <v>1.2465277777777777E-2</v>
      </c>
      <c r="J26" s="152">
        <f>VLOOKUP($B26&amp;"2",Data!$C:$G,5,FALSE)</f>
        <v>4</v>
      </c>
      <c r="K26" s="153">
        <f t="shared" ref="K26:K32" si="39">+I26/J26</f>
        <v>3.1163194444444441E-3</v>
      </c>
      <c r="L26" s="136"/>
      <c r="M26" s="150">
        <f>VLOOKUP($B26&amp;"3",Data!$C:$G,2,FALSE)</f>
        <v>9</v>
      </c>
      <c r="N26" s="151">
        <f>VLOOKUP($B26&amp;"3",Data!$C:$G,4,FALSE)</f>
        <v>1.1319444444444444E-2</v>
      </c>
      <c r="O26" s="152">
        <f>VLOOKUP($B26&amp;"3",Data!$C:$G,5,FALSE)</f>
        <v>3.66</v>
      </c>
      <c r="P26" s="153">
        <f t="shared" ref="P26:P32" si="40">+N26/O26</f>
        <v>3.0927443837279901E-3</v>
      </c>
      <c r="Q26" s="136"/>
      <c r="R26" s="150">
        <f>VLOOKUP($B26&amp;"4",Data!$C:$G,2,FALSE)</f>
        <v>14</v>
      </c>
      <c r="S26" s="151">
        <f>VLOOKUP($B26&amp;"4",Data!$C:$G,4,FALSE)</f>
        <v>1.1307870370370371E-2</v>
      </c>
      <c r="T26" s="152">
        <f>VLOOKUP($B26&amp;"4",Data!$C:$G,5,FALSE)</f>
        <v>4.21</v>
      </c>
      <c r="U26" s="153">
        <f t="shared" ref="U26:U32" si="41">+S26/T26</f>
        <v>2.6859549573326298E-3</v>
      </c>
      <c r="V26" s="136"/>
      <c r="W26" s="154">
        <f t="shared" ref="W26:W32" si="42">SUM(E26,J26,O26,T26)</f>
        <v>15.260000000000002</v>
      </c>
      <c r="X26" s="155">
        <f t="shared" ref="X26:X32" si="43">SUM(D26,I26,N26,S26)</f>
        <v>4.4664351851851851E-2</v>
      </c>
      <c r="Y26" s="153">
        <f t="shared" ref="Y26:Y32" si="44">SUM(D26,I26,N26,S26)/W26</f>
        <v>2.9268906849182074E-3</v>
      </c>
      <c r="Z26" s="136"/>
      <c r="AA26" s="156">
        <f t="shared" si="37"/>
        <v>7</v>
      </c>
      <c r="AB26" s="156">
        <f>VLOOKUP(B26,'Team Selection'!$J$14:$L$49,3,FALSE)</f>
        <v>17</v>
      </c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1:37" x14ac:dyDescent="0.2">
      <c r="A27" s="148"/>
      <c r="B27" s="169" t="str">
        <f>+'Team Selection'!H5</f>
        <v>Julie-Ann Undrill</v>
      </c>
      <c r="C27" s="150">
        <f>VLOOKUP($B27&amp;"1",Data!$C:$G,2,FALSE)</f>
        <v>1</v>
      </c>
      <c r="D27" s="151">
        <f>VLOOKUP($B27&amp;"1",Data!$C:$G,4,FALSE)</f>
        <v>1.0162037037037037E-2</v>
      </c>
      <c r="E27" s="152">
        <f>VLOOKUP($B27&amp;"1",Data!$C:$G,5,FALSE)</f>
        <v>3.39</v>
      </c>
      <c r="F27" s="153">
        <f t="shared" si="38"/>
        <v>2.9976510433737573E-3</v>
      </c>
      <c r="G27" s="136"/>
      <c r="H27" s="150">
        <f>VLOOKUP($B27&amp;"2",Data!$C:$G,2,FALSE)</f>
        <v>5</v>
      </c>
      <c r="I27" s="151">
        <f>VLOOKUP($B27&amp;"2",Data!$C:$G,4,FALSE)</f>
        <v>1.3032407407407407E-2</v>
      </c>
      <c r="J27" s="152">
        <f>VLOOKUP($B27&amp;"2",Data!$C:$G,5,FALSE)</f>
        <v>4</v>
      </c>
      <c r="K27" s="153">
        <f t="shared" si="39"/>
        <v>3.2581018518518519E-3</v>
      </c>
      <c r="L27" s="136"/>
      <c r="M27" s="150">
        <f>VLOOKUP($B27&amp;"3",Data!$C:$G,2,FALSE)</f>
        <v>9</v>
      </c>
      <c r="N27" s="151">
        <f>VLOOKUP($B27&amp;"3",Data!$C:$G,4,FALSE)</f>
        <v>1.1863425925925925E-2</v>
      </c>
      <c r="O27" s="152">
        <f>VLOOKUP($B27&amp;"3",Data!$C:$G,5,FALSE)</f>
        <v>3.66</v>
      </c>
      <c r="P27" s="153">
        <f t="shared" si="40"/>
        <v>3.2413732038048975E-3</v>
      </c>
      <c r="Q27" s="136"/>
      <c r="R27" s="150">
        <f>VLOOKUP($B27&amp;"4",Data!$C:$G,2,FALSE)</f>
        <v>14</v>
      </c>
      <c r="S27" s="151">
        <f>VLOOKUP($B27&amp;"4",Data!$C:$G,4,FALSE)</f>
        <v>1.252314814814815E-2</v>
      </c>
      <c r="T27" s="152">
        <f>VLOOKUP($B27&amp;"4",Data!$C:$G,5,FALSE)</f>
        <v>4.21</v>
      </c>
      <c r="U27" s="153">
        <f t="shared" si="41"/>
        <v>2.9746195126242637E-3</v>
      </c>
      <c r="V27" s="136"/>
      <c r="W27" s="154">
        <f t="shared" si="42"/>
        <v>15.260000000000002</v>
      </c>
      <c r="X27" s="155">
        <f t="shared" si="43"/>
        <v>4.7581018518518522E-2</v>
      </c>
      <c r="Y27" s="153">
        <f t="shared" si="44"/>
        <v>3.1180221833891557E-3</v>
      </c>
      <c r="Z27" s="136"/>
      <c r="AA27" s="156">
        <f t="shared" si="37"/>
        <v>8</v>
      </c>
      <c r="AB27" s="156">
        <f>VLOOKUP(B27,'Team Selection'!$J$14:$L$49,3,FALSE)</f>
        <v>18</v>
      </c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x14ac:dyDescent="0.2">
      <c r="A28" s="148"/>
      <c r="B28" s="169" t="str">
        <f>+'Team Selection'!H6</f>
        <v>Thai Phan</v>
      </c>
      <c r="C28" s="150">
        <f>VLOOKUP($B28&amp;"1",Data!$C:$G,2,FALSE)</f>
        <v>1</v>
      </c>
      <c r="D28" s="151">
        <f>VLOOKUP($B28&amp;"1",Data!$C:$G,4,FALSE)</f>
        <v>9.3171296296296283E-3</v>
      </c>
      <c r="E28" s="152">
        <f>VLOOKUP($B28&amp;"1",Data!$C:$G,5,FALSE)</f>
        <v>3.39</v>
      </c>
      <c r="F28" s="153">
        <f t="shared" si="38"/>
        <v>2.7484158199497428E-3</v>
      </c>
      <c r="G28" s="136"/>
      <c r="H28" s="150">
        <f>VLOOKUP($B28&amp;"2",Data!$C:$G,2,FALSE)</f>
        <v>5</v>
      </c>
      <c r="I28" s="151">
        <f>VLOOKUP($B28&amp;"2",Data!$C:$G,4,FALSE)</f>
        <v>1.1932870370370371E-2</v>
      </c>
      <c r="J28" s="152">
        <f>VLOOKUP($B28&amp;"2",Data!$C:$G,5,FALSE)</f>
        <v>4</v>
      </c>
      <c r="K28" s="153">
        <f t="shared" si="39"/>
        <v>2.9832175925925929E-3</v>
      </c>
      <c r="L28" s="136"/>
      <c r="M28" s="150">
        <f>VLOOKUP($B28&amp;"3",Data!$C:$G,2,FALSE)</f>
        <v>9</v>
      </c>
      <c r="N28" s="151">
        <f>VLOOKUP($B28&amp;"3",Data!$C:$G,4,FALSE)</f>
        <v>1.0833333333333334E-2</v>
      </c>
      <c r="O28" s="152">
        <f>VLOOKUP($B28&amp;"3",Data!$C:$G,5,FALSE)</f>
        <v>3.66</v>
      </c>
      <c r="P28" s="153">
        <f t="shared" si="40"/>
        <v>2.9599271402550092E-3</v>
      </c>
      <c r="Q28" s="136"/>
      <c r="R28" s="150">
        <f>VLOOKUP($B28&amp;"4",Data!$C:$G,2,FALSE)</f>
        <v>14</v>
      </c>
      <c r="S28" s="151">
        <f>VLOOKUP($B28&amp;"4",Data!$C:$G,4,FALSE)</f>
        <v>1.1331018518518518E-2</v>
      </c>
      <c r="T28" s="152">
        <f>VLOOKUP($B28&amp;"4",Data!$C:$G,5,FALSE)</f>
        <v>4.21</v>
      </c>
      <c r="U28" s="153">
        <f t="shared" si="41"/>
        <v>2.6914533298143749E-3</v>
      </c>
      <c r="V28" s="136"/>
      <c r="W28" s="154">
        <f t="shared" si="42"/>
        <v>15.260000000000002</v>
      </c>
      <c r="X28" s="155">
        <f t="shared" si="43"/>
        <v>4.341435185185185E-2</v>
      </c>
      <c r="Y28" s="153">
        <f t="shared" si="44"/>
        <v>2.8449771855735156E-3</v>
      </c>
      <c r="Z28" s="136"/>
      <c r="AA28" s="156">
        <f t="shared" si="37"/>
        <v>4</v>
      </c>
      <c r="AB28" s="156">
        <f>VLOOKUP(B28,'Team Selection'!$J$14:$L$49,3,FALSE)</f>
        <v>20</v>
      </c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x14ac:dyDescent="0.2">
      <c r="A29" s="148"/>
      <c r="B29" s="169" t="str">
        <f>+'Team Selection'!H7</f>
        <v>Anthony Mithen</v>
      </c>
      <c r="C29" s="150">
        <f>VLOOKUP($B29&amp;"1",Data!$C:$G,2,FALSE)</f>
        <v>1</v>
      </c>
      <c r="D29" s="151">
        <f>VLOOKUP($B29&amp;"1",Data!$C:$G,4,FALSE)</f>
        <v>9.4560185185185181E-3</v>
      </c>
      <c r="E29" s="152">
        <f>VLOOKUP($B29&amp;"1",Data!$C:$G,5,FALSE)</f>
        <v>3.39</v>
      </c>
      <c r="F29" s="153">
        <f t="shared" si="38"/>
        <v>2.7893859936632794E-3</v>
      </c>
      <c r="G29" s="136"/>
      <c r="H29" s="150">
        <f>VLOOKUP($B29&amp;"2",Data!$C:$G,2,FALSE)</f>
        <v>5</v>
      </c>
      <c r="I29" s="151">
        <f>VLOOKUP($B29&amp;"2",Data!$C:$G,4,FALSE)</f>
        <v>1.2280092592592592E-2</v>
      </c>
      <c r="J29" s="152">
        <f>VLOOKUP($B29&amp;"2",Data!$C:$G,5,FALSE)</f>
        <v>4</v>
      </c>
      <c r="K29" s="153">
        <f t="shared" si="39"/>
        <v>3.0700231481481481E-3</v>
      </c>
      <c r="L29" s="136"/>
      <c r="M29" s="150">
        <f>VLOOKUP($B29&amp;"3",Data!$C:$G,2,FALSE)</f>
        <v>9</v>
      </c>
      <c r="N29" s="151">
        <f>VLOOKUP($B29&amp;"3",Data!$C:$G,4,FALSE)</f>
        <v>1.1099537037037038E-2</v>
      </c>
      <c r="O29" s="152">
        <f>VLOOKUP($B29&amp;"3",Data!$C:$G,5,FALSE)</f>
        <v>3.66</v>
      </c>
      <c r="P29" s="153">
        <f t="shared" si="40"/>
        <v>3.0326603926330705E-3</v>
      </c>
      <c r="Q29" s="136"/>
      <c r="R29" s="150">
        <f>VLOOKUP($B29&amp;"4",Data!$C:$G,2,FALSE)</f>
        <v>14</v>
      </c>
      <c r="S29" s="151">
        <f>VLOOKUP($B29&amp;"4",Data!$C:$G,4,FALSE)</f>
        <v>1.1724537037037035E-2</v>
      </c>
      <c r="T29" s="152">
        <f>VLOOKUP($B29&amp;"4",Data!$C:$G,5,FALSE)</f>
        <v>4.21</v>
      </c>
      <c r="U29" s="153">
        <f t="shared" si="41"/>
        <v>2.7849256620040464E-3</v>
      </c>
      <c r="V29" s="136"/>
      <c r="W29" s="154">
        <f t="shared" si="42"/>
        <v>15.260000000000002</v>
      </c>
      <c r="X29" s="155">
        <f t="shared" si="43"/>
        <v>4.4560185185185182E-2</v>
      </c>
      <c r="Y29" s="153">
        <f t="shared" si="44"/>
        <v>2.9200645599728164E-3</v>
      </c>
      <c r="Z29" s="136"/>
      <c r="AA29" s="156">
        <f t="shared" si="37"/>
        <v>6</v>
      </c>
      <c r="AB29" s="156">
        <f>VLOOKUP(B29,'Team Selection'!$J$14:$L$49,3,FALSE)</f>
        <v>22</v>
      </c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x14ac:dyDescent="0.2">
      <c r="A30" s="148"/>
      <c r="B30" s="169" t="str">
        <f>+'Team Selection'!H8</f>
        <v>Brenton Norman</v>
      </c>
      <c r="C30" s="150">
        <f>VLOOKUP($B30&amp;"1",Data!$C:$G,2,FALSE)</f>
        <v>2</v>
      </c>
      <c r="D30" s="151">
        <f>VLOOKUP($B30&amp;"1",Data!$C:$G,4,FALSE)</f>
        <v>9.6874999999999999E-3</v>
      </c>
      <c r="E30" s="152">
        <f>VLOOKUP($B30&amp;"1",Data!$C:$G,5,FALSE)</f>
        <v>3.39</v>
      </c>
      <c r="F30" s="153">
        <f t="shared" si="38"/>
        <v>2.857669616519174E-3</v>
      </c>
      <c r="G30" s="136"/>
      <c r="H30" s="150">
        <f>VLOOKUP($B30&amp;"2",Data!$C:$G,2,FALSE)</f>
        <v>6</v>
      </c>
      <c r="I30" s="151">
        <f>VLOOKUP($B30&amp;"2",Data!$C:$G,4,FALSE)</f>
        <v>1.1261574074074071E-2</v>
      </c>
      <c r="J30" s="152">
        <f>VLOOKUP($B30&amp;"2",Data!$C:$G,5,FALSE)</f>
        <v>4.2699999999999996</v>
      </c>
      <c r="K30" s="153">
        <f t="shared" si="39"/>
        <v>2.6373709775349115E-3</v>
      </c>
      <c r="L30" s="136"/>
      <c r="M30" s="150">
        <f>VLOOKUP($B30&amp;"3",Data!$C:$G,2,FALSE)</f>
        <v>12</v>
      </c>
      <c r="N30" s="151">
        <f>VLOOKUP($B30&amp;"3",Data!$C:$G,4,FALSE)</f>
        <v>1.2800925925925926E-2</v>
      </c>
      <c r="O30" s="152">
        <f>VLOOKUP($B30&amp;"3",Data!$C:$G,5,FALSE)</f>
        <v>4.5</v>
      </c>
      <c r="P30" s="153">
        <f t="shared" si="40"/>
        <v>2.8446502057613166E-3</v>
      </c>
      <c r="Q30" s="136"/>
      <c r="R30" s="150">
        <f>VLOOKUP($B30&amp;"4",Data!$C:$G,2,FALSE)</f>
        <v>16</v>
      </c>
      <c r="S30" s="151">
        <f>VLOOKUP($B30&amp;"4",Data!$C:$G,4,FALSE)</f>
        <v>1.105324074074074E-2</v>
      </c>
      <c r="T30" s="152">
        <f>VLOOKUP($B30&amp;"4",Data!$C:$G,5,FALSE)</f>
        <v>3.66</v>
      </c>
      <c r="U30" s="153">
        <f t="shared" si="41"/>
        <v>3.0200111313499287E-3</v>
      </c>
      <c r="V30" s="136"/>
      <c r="W30" s="154">
        <f t="shared" si="42"/>
        <v>15.82</v>
      </c>
      <c r="X30" s="155">
        <f t="shared" si="43"/>
        <v>4.4803240740740734E-2</v>
      </c>
      <c r="Y30" s="153">
        <f t="shared" si="44"/>
        <v>2.8320632579482133E-3</v>
      </c>
      <c r="Z30" s="136"/>
      <c r="AA30" s="156">
        <f t="shared" si="37"/>
        <v>3</v>
      </c>
      <c r="AB30" s="156">
        <f>VLOOKUP(B30,'Team Selection'!$J$14:$L$49,3,FALSE)</f>
        <v>23</v>
      </c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1:37" x14ac:dyDescent="0.2">
      <c r="A31" s="148"/>
      <c r="B31" s="169" t="str">
        <f>+'Team Selection'!H9</f>
        <v>Andrew Pintar</v>
      </c>
      <c r="C31" s="150">
        <f>VLOOKUP($B31&amp;"1",Data!$C:$G,2,FALSE)</f>
        <v>2</v>
      </c>
      <c r="D31" s="151">
        <f>VLOOKUP($B31&amp;"1",Data!$C:$G,4,FALSE)</f>
        <v>9.3749999999999997E-3</v>
      </c>
      <c r="E31" s="152">
        <f>VLOOKUP($B31&amp;"1",Data!$C:$G,5,FALSE)</f>
        <v>3.39</v>
      </c>
      <c r="F31" s="153">
        <f t="shared" si="38"/>
        <v>2.7654867256637168E-3</v>
      </c>
      <c r="G31" s="136"/>
      <c r="H31" s="150">
        <f>VLOOKUP($B31&amp;"2",Data!$C:$G,2,FALSE)</f>
        <v>6</v>
      </c>
      <c r="I31" s="151">
        <f>VLOOKUP($B31&amp;"2",Data!$C:$G,4,FALSE)</f>
        <v>1.0567129629629629E-2</v>
      </c>
      <c r="J31" s="152">
        <f>VLOOKUP($B31&amp;"2",Data!$C:$G,5,FALSE)</f>
        <v>4.2699999999999996</v>
      </c>
      <c r="K31" s="153">
        <f t="shared" si="39"/>
        <v>2.4747376181802412E-3</v>
      </c>
      <c r="L31" s="136"/>
      <c r="M31" s="150">
        <f>VLOOKUP($B31&amp;"3",Data!$C:$G,2,FALSE)</f>
        <v>12</v>
      </c>
      <c r="N31" s="151">
        <f>VLOOKUP($B31&amp;"3",Data!$C:$G,4,FALSE)</f>
        <v>1.1944444444444445E-2</v>
      </c>
      <c r="O31" s="152">
        <f>VLOOKUP($B31&amp;"3",Data!$C:$G,5,FALSE)</f>
        <v>4.5</v>
      </c>
      <c r="P31" s="153">
        <f t="shared" si="40"/>
        <v>2.6543209876543211E-3</v>
      </c>
      <c r="Q31" s="136"/>
      <c r="R31" s="150">
        <f>VLOOKUP($B31&amp;"4",Data!$C:$G,2,FALSE)</f>
        <v>15</v>
      </c>
      <c r="S31" s="151">
        <f>VLOOKUP($B31&amp;"4",Data!$C:$G,4,FALSE)</f>
        <v>1.1354166666666667E-2</v>
      </c>
      <c r="T31" s="152">
        <f>VLOOKUP($B31&amp;"4",Data!$C:$G,5,FALSE)</f>
        <v>4.49</v>
      </c>
      <c r="U31" s="153">
        <f t="shared" si="41"/>
        <v>2.5287676317743133E-3</v>
      </c>
      <c r="V31" s="136"/>
      <c r="W31" s="154">
        <f t="shared" si="42"/>
        <v>16.649999999999999</v>
      </c>
      <c r="X31" s="155">
        <f t="shared" si="43"/>
        <v>4.3240740740740739E-2</v>
      </c>
      <c r="Y31" s="153">
        <f t="shared" si="44"/>
        <v>2.597041485930375E-3</v>
      </c>
      <c r="Z31" s="136"/>
      <c r="AA31" s="156">
        <f t="shared" si="37"/>
        <v>1</v>
      </c>
      <c r="AB31" s="156">
        <f>VLOOKUP(B31,'Team Selection'!$J$14:$L$49,3,FALSE)</f>
        <v>19</v>
      </c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x14ac:dyDescent="0.2">
      <c r="A32" s="148"/>
      <c r="B32" s="169" t="str">
        <f>+'Team Selection'!H10</f>
        <v>Chris Wade</v>
      </c>
      <c r="C32" s="157">
        <f>VLOOKUP($B32&amp;"1",Data!$C:$G,2,FALSE)</f>
        <v>2</v>
      </c>
      <c r="D32" s="158">
        <f>VLOOKUP($B32&amp;"1",Data!$C:$G,4,FALSE)</f>
        <v>9.6874999999999999E-3</v>
      </c>
      <c r="E32" s="159">
        <f>VLOOKUP($B32&amp;"1",Data!$C:$G,5,FALSE)</f>
        <v>3.39</v>
      </c>
      <c r="F32" s="160">
        <f t="shared" si="38"/>
        <v>2.857669616519174E-3</v>
      </c>
      <c r="G32" s="136"/>
      <c r="H32" s="157">
        <f>VLOOKUP($B32&amp;"2",Data!$C:$G,2,FALSE)</f>
        <v>6</v>
      </c>
      <c r="I32" s="158">
        <f>VLOOKUP($B32&amp;"2",Data!$C:$G,4,FALSE)</f>
        <v>1.1284722222222222E-2</v>
      </c>
      <c r="J32" s="159">
        <f>VLOOKUP($B32&amp;"2",Data!$C:$G,5,FALSE)</f>
        <v>4.2699999999999996</v>
      </c>
      <c r="K32" s="160">
        <f t="shared" si="39"/>
        <v>2.6427920895134012E-3</v>
      </c>
      <c r="L32" s="136"/>
      <c r="M32" s="157">
        <f>VLOOKUP($B32&amp;"3",Data!$C:$G,2,FALSE)</f>
        <v>9</v>
      </c>
      <c r="N32" s="158">
        <f>VLOOKUP($B32&amp;"3",Data!$C:$G,4,FALSE)</f>
        <v>1.1516203703703702E-2</v>
      </c>
      <c r="O32" s="159">
        <f>VLOOKUP($B32&amp;"3",Data!$C:$G,5,FALSE)</f>
        <v>3.66</v>
      </c>
      <c r="P32" s="160">
        <f t="shared" si="40"/>
        <v>3.1465037441813391E-3</v>
      </c>
      <c r="Q32" s="136"/>
      <c r="R32" s="157">
        <f>VLOOKUP($B32&amp;"4",Data!$C:$G,2,FALSE)</f>
        <v>14</v>
      </c>
      <c r="S32" s="158">
        <f>VLOOKUP($B32&amp;"4",Data!$C:$G,4,FALSE)</f>
        <v>1.1921296296296298E-2</v>
      </c>
      <c r="T32" s="159">
        <f>VLOOKUP($B32&amp;"4",Data!$C:$G,5,FALSE)</f>
        <v>4.21</v>
      </c>
      <c r="U32" s="160">
        <f t="shared" si="41"/>
        <v>2.8316618280988829E-3</v>
      </c>
      <c r="V32" s="136"/>
      <c r="W32" s="161">
        <f t="shared" si="42"/>
        <v>15.530000000000001</v>
      </c>
      <c r="X32" s="162">
        <f t="shared" si="43"/>
        <v>4.4409722222222218E-2</v>
      </c>
      <c r="Y32" s="160">
        <f t="shared" si="44"/>
        <v>2.859608642770265E-3</v>
      </c>
      <c r="Z32" s="136"/>
      <c r="AA32" s="156">
        <f t="shared" si="37"/>
        <v>5</v>
      </c>
      <c r="AB32" s="156">
        <f>VLOOKUP(B32,'Team Selection'!$J$14:$L$49,3,FALSE)</f>
        <v>24</v>
      </c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x14ac:dyDescent="0.2">
      <c r="A33" s="163"/>
      <c r="B33" s="137"/>
      <c r="C33" s="163"/>
      <c r="D33" s="164"/>
      <c r="E33" s="165"/>
      <c r="F33" s="164"/>
      <c r="G33" s="137"/>
      <c r="H33" s="163"/>
      <c r="I33" s="164"/>
      <c r="J33" s="165"/>
      <c r="K33" s="164"/>
      <c r="L33" s="137"/>
      <c r="M33" s="163"/>
      <c r="N33" s="164"/>
      <c r="O33" s="165"/>
      <c r="P33" s="164"/>
      <c r="Q33" s="137"/>
      <c r="R33" s="163"/>
      <c r="S33" s="164"/>
      <c r="T33" s="165"/>
      <c r="U33" s="164"/>
      <c r="V33" s="137"/>
      <c r="W33" s="170"/>
      <c r="X33" s="164"/>
      <c r="Y33" s="164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x14ac:dyDescent="0.2">
      <c r="A34" s="163"/>
      <c r="B34" s="137"/>
      <c r="C34" s="163"/>
      <c r="D34" s="164"/>
      <c r="E34" s="165"/>
      <c r="F34" s="164"/>
      <c r="G34" s="137"/>
      <c r="H34" s="163"/>
      <c r="I34" s="164"/>
      <c r="J34" s="165"/>
      <c r="K34" s="164"/>
      <c r="L34" s="137"/>
      <c r="M34" s="163"/>
      <c r="N34" s="164"/>
      <c r="O34" s="165"/>
      <c r="P34" s="164"/>
      <c r="Q34" s="137"/>
      <c r="R34" s="163"/>
      <c r="S34" s="164"/>
      <c r="T34" s="165"/>
      <c r="U34" s="164"/>
      <c r="V34" s="137"/>
      <c r="W34" s="138" t="s">
        <v>39</v>
      </c>
      <c r="X34" s="139" t="s">
        <v>39</v>
      </c>
      <c r="Y34" s="139" t="s">
        <v>40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x14ac:dyDescent="0.2">
      <c r="A35" s="171"/>
      <c r="B35" s="141" t="s">
        <v>31</v>
      </c>
      <c r="C35" s="166" t="s">
        <v>11</v>
      </c>
      <c r="D35" s="144" t="s">
        <v>7</v>
      </c>
      <c r="E35" s="145" t="s">
        <v>32</v>
      </c>
      <c r="F35" s="144" t="s">
        <v>8</v>
      </c>
      <c r="G35" s="136"/>
      <c r="H35" s="143" t="s">
        <v>11</v>
      </c>
      <c r="I35" s="144" t="s">
        <v>7</v>
      </c>
      <c r="J35" s="145" t="s">
        <v>32</v>
      </c>
      <c r="K35" s="144" t="s">
        <v>8</v>
      </c>
      <c r="L35" s="136"/>
      <c r="M35" s="143" t="s">
        <v>11</v>
      </c>
      <c r="N35" s="144" t="s">
        <v>7</v>
      </c>
      <c r="O35" s="145" t="s">
        <v>32</v>
      </c>
      <c r="P35" s="144" t="s">
        <v>8</v>
      </c>
      <c r="Q35" s="136"/>
      <c r="R35" s="143" t="s">
        <v>11</v>
      </c>
      <c r="S35" s="144" t="s">
        <v>7</v>
      </c>
      <c r="T35" s="145" t="s">
        <v>32</v>
      </c>
      <c r="U35" s="144" t="s">
        <v>8</v>
      </c>
      <c r="V35" s="136"/>
      <c r="W35" s="167" t="s">
        <v>38</v>
      </c>
      <c r="X35" s="147" t="s">
        <v>7</v>
      </c>
      <c r="Y35" s="168" t="s">
        <v>8</v>
      </c>
      <c r="Z35" s="136"/>
      <c r="AA35" s="143" t="s">
        <v>10</v>
      </c>
      <c r="AB35" s="143" t="s">
        <v>62</v>
      </c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x14ac:dyDescent="0.2">
      <c r="A36" s="148"/>
      <c r="B36" s="169" t="str">
        <f>+'Team Selection'!J3</f>
        <v>Anna Locarnini</v>
      </c>
      <c r="C36" s="150">
        <f>VLOOKUP($B36&amp;"1",Data!$C:$G,2,FALSE)</f>
        <v>3</v>
      </c>
      <c r="D36" s="151">
        <f>VLOOKUP($B36&amp;"1",Data!$C:$G,4,FALSE)</f>
        <v>1.119212962962963E-2</v>
      </c>
      <c r="E36" s="152">
        <f>VLOOKUP($B36&amp;"1",Data!$C:$G,5,FALSE)</f>
        <v>3.39</v>
      </c>
      <c r="F36" s="153">
        <f t="shared" ref="F36" si="45">+D36/E36</f>
        <v>3.3015131650824866E-3</v>
      </c>
      <c r="G36" s="136"/>
      <c r="H36" s="150">
        <f>VLOOKUP($B36&amp;"2",Data!$C:$G,2,FALSE)</f>
        <v>7</v>
      </c>
      <c r="I36" s="151">
        <f>VLOOKUP($B36&amp;"2",Data!$C:$G,4,FALSE)</f>
        <v>8.7847222222222233E-3</v>
      </c>
      <c r="J36" s="152">
        <f>VLOOKUP($B36&amp;"2",Data!$C:$G,5,FALSE)</f>
        <v>3.2</v>
      </c>
      <c r="K36" s="153">
        <f t="shared" ref="K36" si="46">+I36/J36</f>
        <v>2.7452256944444447E-3</v>
      </c>
      <c r="L36" s="136"/>
      <c r="M36" s="150">
        <f>VLOOKUP($B36&amp;"3",Data!$C:$G,2,FALSE)</f>
        <v>9</v>
      </c>
      <c r="N36" s="151">
        <f>VLOOKUP($B36&amp;"3",Data!$C:$G,4,FALSE)</f>
        <v>1.2951388888888887E-2</v>
      </c>
      <c r="O36" s="152">
        <f>VLOOKUP($B36&amp;"3",Data!$C:$G,5,FALSE)</f>
        <v>3.66</v>
      </c>
      <c r="P36" s="153">
        <f t="shared" ref="P36" si="47">+N36/O36</f>
        <v>3.5386308439587125E-3</v>
      </c>
      <c r="Q36" s="136"/>
      <c r="R36" s="150">
        <f>VLOOKUP($B36&amp;"4",Data!$C:$G,2,FALSE)</f>
        <v>15</v>
      </c>
      <c r="S36" s="151">
        <f>VLOOKUP($B36&amp;"4",Data!$C:$G,4,FALSE)</f>
        <v>1.3680555555555555E-2</v>
      </c>
      <c r="T36" s="152">
        <f>VLOOKUP($B36&amp;"4",Data!$C:$G,5,FALSE)</f>
        <v>4.49</v>
      </c>
      <c r="U36" s="153">
        <f t="shared" ref="U36" si="48">+S36/T36</f>
        <v>3.0468943330858697E-3</v>
      </c>
      <c r="V36" s="136"/>
      <c r="W36" s="154">
        <f t="shared" ref="W36" si="49">SUM(E36,J36,O36,T36)</f>
        <v>14.74</v>
      </c>
      <c r="X36" s="155">
        <f t="shared" ref="X36" si="50">SUM(D36,I36,N36,S36)</f>
        <v>4.6608796296296301E-2</v>
      </c>
      <c r="Y36" s="153">
        <f t="shared" ref="Y36" si="51">SUM(D36,I36,N36,S36)/W36</f>
        <v>3.1620621639278359E-3</v>
      </c>
      <c r="Z36" s="136"/>
      <c r="AA36" s="143">
        <f t="shared" ref="AA36:AA43" si="52">RANK(Y36,Y$36:Y$43,1)</f>
        <v>7</v>
      </c>
      <c r="AB36" s="143">
        <f>VLOOKUP(B36,'Team Selection'!$J$14:$L$49,3,FALSE)</f>
        <v>32</v>
      </c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x14ac:dyDescent="0.2">
      <c r="A37" s="148"/>
      <c r="B37" s="169" t="str">
        <f>+'Team Selection'!J4</f>
        <v>Hugh Hunter</v>
      </c>
      <c r="C37" s="150">
        <f>VLOOKUP($B37&amp;"1",Data!$C:$G,2,FALSE)</f>
        <v>3</v>
      </c>
      <c r="D37" s="151">
        <f>VLOOKUP($B37&amp;"1",Data!$C:$G,4,FALSE)</f>
        <v>1.1875000000000002E-2</v>
      </c>
      <c r="E37" s="152">
        <f>VLOOKUP($B37&amp;"1",Data!$C:$G,5,FALSE)</f>
        <v>3.39</v>
      </c>
      <c r="F37" s="153">
        <f t="shared" ref="F37:F43" si="53">+D37/E37</f>
        <v>3.502949852507375E-3</v>
      </c>
      <c r="G37" s="136"/>
      <c r="H37" s="150">
        <f>VLOOKUP($B37&amp;"2",Data!$C:$G,2,FALSE)</f>
        <v>7</v>
      </c>
      <c r="I37" s="151">
        <f>VLOOKUP($B37&amp;"2",Data!$C:$G,4,FALSE)</f>
        <v>9.5601851851851855E-3</v>
      </c>
      <c r="J37" s="152">
        <f>VLOOKUP($B37&amp;"2",Data!$C:$G,5,FALSE)</f>
        <v>3.2</v>
      </c>
      <c r="K37" s="153">
        <f t="shared" ref="K37:K43" si="54">+I37/J37</f>
        <v>2.9875578703703705E-3</v>
      </c>
      <c r="L37" s="136"/>
      <c r="M37" s="150">
        <f>VLOOKUP($B37&amp;"3",Data!$C:$G,2,FALSE)</f>
        <v>10</v>
      </c>
      <c r="N37" s="151">
        <f>VLOOKUP($B37&amp;"3",Data!$C:$G,4,FALSE)</f>
        <v>1.4374999999999999E-2</v>
      </c>
      <c r="O37" s="152">
        <f>VLOOKUP($B37&amp;"3",Data!$C:$G,5,FALSE)</f>
        <v>3.7</v>
      </c>
      <c r="P37" s="153">
        <f t="shared" ref="P37:P43" si="55">+N37/O37</f>
        <v>3.8851351351351345E-3</v>
      </c>
      <c r="Q37" s="136"/>
      <c r="R37" s="150">
        <f>VLOOKUP($B37&amp;"4",Data!$C:$G,2,FALSE)</f>
        <v>16</v>
      </c>
      <c r="S37" s="151">
        <f>VLOOKUP($B37&amp;"4",Data!$C:$G,4,FALSE)</f>
        <v>1.2731481481481481E-2</v>
      </c>
      <c r="T37" s="152">
        <f>VLOOKUP($B37&amp;"4",Data!$C:$G,5,FALSE)</f>
        <v>3.66</v>
      </c>
      <c r="U37" s="153">
        <f t="shared" ref="U37:U43" si="56">+S37/T37</f>
        <v>3.4785468528637925E-3</v>
      </c>
      <c r="V37" s="136"/>
      <c r="W37" s="154">
        <f t="shared" ref="W37:W43" si="57">SUM(E37,J37,O37,T37)</f>
        <v>13.95</v>
      </c>
      <c r="X37" s="155">
        <f t="shared" ref="X37:X43" si="58">SUM(D37,I37,N37,S37)</f>
        <v>4.854166666666667E-2</v>
      </c>
      <c r="Y37" s="153">
        <f t="shared" ref="Y37:Y43" si="59">SUM(D37,I37,N37,S37)/W37</f>
        <v>3.4796893667861416E-3</v>
      </c>
      <c r="Z37" s="136"/>
      <c r="AA37" s="156">
        <f t="shared" si="52"/>
        <v>8</v>
      </c>
      <c r="AB37" s="156">
        <f>VLOOKUP(B37,'Team Selection'!$J$14:$L$49,3,FALSE)</f>
        <v>28</v>
      </c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x14ac:dyDescent="0.2">
      <c r="A38" s="148"/>
      <c r="B38" s="169" t="str">
        <f>+'Team Selection'!J5</f>
        <v>Mel Jansen</v>
      </c>
      <c r="C38" s="150">
        <f>VLOOKUP($B38&amp;"1",Data!$C:$G,2,FALSE)</f>
        <v>3</v>
      </c>
      <c r="D38" s="151">
        <f>VLOOKUP($B38&amp;"1",Data!$C:$G,4,FALSE)</f>
        <v>1.0439814814814813E-2</v>
      </c>
      <c r="E38" s="152">
        <f>VLOOKUP($B38&amp;"1",Data!$C:$G,5,FALSE)</f>
        <v>3.39</v>
      </c>
      <c r="F38" s="153">
        <f t="shared" si="53"/>
        <v>3.0795913908008296E-3</v>
      </c>
      <c r="G38" s="136"/>
      <c r="H38" s="150">
        <f>VLOOKUP($B38&amp;"2",Data!$C:$G,2,FALSE)</f>
        <v>7</v>
      </c>
      <c r="I38" s="151">
        <f>VLOOKUP($B38&amp;"2",Data!$C:$G,4,FALSE)</f>
        <v>8.0555555555555554E-3</v>
      </c>
      <c r="J38" s="152">
        <f>VLOOKUP($B38&amp;"2",Data!$C:$G,5,FALSE)</f>
        <v>3.2</v>
      </c>
      <c r="K38" s="153">
        <f t="shared" si="54"/>
        <v>2.5173611111111108E-3</v>
      </c>
      <c r="L38" s="136"/>
      <c r="M38" s="150">
        <f>VLOOKUP($B38&amp;"3",Data!$C:$G,2,FALSE)</f>
        <v>12</v>
      </c>
      <c r="N38" s="151">
        <f>VLOOKUP($B38&amp;"3",Data!$C:$G,4,FALSE)</f>
        <v>1.34375E-2</v>
      </c>
      <c r="O38" s="152">
        <f>VLOOKUP($B38&amp;"3",Data!$C:$G,5,FALSE)</f>
        <v>4.5</v>
      </c>
      <c r="P38" s="153">
        <f t="shared" si="55"/>
        <v>2.9861111111111113E-3</v>
      </c>
      <c r="Q38" s="136"/>
      <c r="R38" s="150">
        <f>VLOOKUP($B38&amp;"4",Data!$C:$G,2,FALSE)</f>
        <v>16</v>
      </c>
      <c r="S38" s="151">
        <f>VLOOKUP($B38&amp;"4",Data!$C:$G,4,FALSE)</f>
        <v>1.1076388888888887E-2</v>
      </c>
      <c r="T38" s="152">
        <f>VLOOKUP($B38&amp;"4",Data!$C:$G,5,FALSE)</f>
        <v>3.66</v>
      </c>
      <c r="U38" s="153">
        <f t="shared" si="56"/>
        <v>3.0263357619914992E-3</v>
      </c>
      <c r="V38" s="136"/>
      <c r="W38" s="154">
        <f t="shared" si="57"/>
        <v>14.75</v>
      </c>
      <c r="X38" s="155">
        <f t="shared" si="58"/>
        <v>4.3009259259259254E-2</v>
      </c>
      <c r="Y38" s="153">
        <f t="shared" si="59"/>
        <v>2.9158819836785934E-3</v>
      </c>
      <c r="Z38" s="136"/>
      <c r="AA38" s="156">
        <f t="shared" si="52"/>
        <v>2</v>
      </c>
      <c r="AB38" s="156">
        <f>VLOOKUP(B38,'Team Selection'!$J$14:$L$49,3,FALSE)</f>
        <v>31</v>
      </c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x14ac:dyDescent="0.2">
      <c r="A39" s="148"/>
      <c r="B39" s="169" t="str">
        <f>+'Team Selection'!J6</f>
        <v>Nick Tobin</v>
      </c>
      <c r="C39" s="150">
        <f>VLOOKUP($B39&amp;"1",Data!$C:$G,2,FALSE)</f>
        <v>3</v>
      </c>
      <c r="D39" s="151">
        <f>VLOOKUP($B39&amp;"1",Data!$C:$G,4,FALSE)</f>
        <v>1.0208333333333333E-2</v>
      </c>
      <c r="E39" s="152">
        <f>VLOOKUP($B39&amp;"1",Data!$C:$G,5,FALSE)</f>
        <v>3.39</v>
      </c>
      <c r="F39" s="153">
        <f t="shared" si="53"/>
        <v>3.0113077679449359E-3</v>
      </c>
      <c r="G39" s="136"/>
      <c r="H39" s="150">
        <f>VLOOKUP($B39&amp;"2",Data!$C:$G,2,FALSE)</f>
        <v>7</v>
      </c>
      <c r="I39" s="151">
        <f>VLOOKUP($B39&amp;"2",Data!$C:$G,4,FALSE)</f>
        <v>7.9976851851851858E-3</v>
      </c>
      <c r="J39" s="152">
        <f>VLOOKUP($B39&amp;"2",Data!$C:$G,5,FALSE)</f>
        <v>3.2</v>
      </c>
      <c r="K39" s="153">
        <f t="shared" si="54"/>
        <v>2.4992766203703705E-3</v>
      </c>
      <c r="L39" s="136"/>
      <c r="M39" s="150">
        <f>VLOOKUP($B39&amp;"3",Data!$C:$G,2,FALSE)</f>
        <v>10</v>
      </c>
      <c r="N39" s="151">
        <f>VLOOKUP($B39&amp;"3",Data!$C:$G,4,FALSE)</f>
        <v>1.2708333333333334E-2</v>
      </c>
      <c r="O39" s="152">
        <f>VLOOKUP($B39&amp;"3",Data!$C:$G,5,FALSE)</f>
        <v>3.7</v>
      </c>
      <c r="P39" s="153">
        <f t="shared" si="55"/>
        <v>3.4346846846846847E-3</v>
      </c>
      <c r="Q39" s="136"/>
      <c r="R39" s="150">
        <f>VLOOKUP($B39&amp;"4",Data!$C:$G,2,FALSE)</f>
        <v>16</v>
      </c>
      <c r="S39" s="151">
        <f>VLOOKUP($B39&amp;"4",Data!$C:$G,4,FALSE)</f>
        <v>1.1388888888888888E-2</v>
      </c>
      <c r="T39" s="152">
        <f>VLOOKUP($B39&amp;"4",Data!$C:$G,5,FALSE)</f>
        <v>3.66</v>
      </c>
      <c r="U39" s="153">
        <f t="shared" si="56"/>
        <v>3.1117182756527015E-3</v>
      </c>
      <c r="V39" s="136"/>
      <c r="W39" s="154">
        <f t="shared" si="57"/>
        <v>13.95</v>
      </c>
      <c r="X39" s="155">
        <f t="shared" si="58"/>
        <v>4.2303240740740738E-2</v>
      </c>
      <c r="Y39" s="153">
        <f t="shared" si="59"/>
        <v>3.0324903756803398E-3</v>
      </c>
      <c r="Z39" s="136"/>
      <c r="AA39" s="156">
        <f t="shared" si="52"/>
        <v>4</v>
      </c>
      <c r="AB39" s="156">
        <f>VLOOKUP(B39,'Team Selection'!$J$14:$L$49,3,FALSE)</f>
        <v>30</v>
      </c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x14ac:dyDescent="0.2">
      <c r="A40" s="148"/>
      <c r="B40" s="169" t="str">
        <f>+'Team Selection'!J7</f>
        <v>Luke Pengelly</v>
      </c>
      <c r="C40" s="150">
        <f>VLOOKUP($B40&amp;"1",Data!$C:$G,2,FALSE)</f>
        <v>3</v>
      </c>
      <c r="D40" s="151">
        <f>VLOOKUP($B40&amp;"1",Data!$C:$G,4,FALSE)</f>
        <v>1.0613425925925927E-2</v>
      </c>
      <c r="E40" s="152">
        <f>VLOOKUP($B40&amp;"1",Data!$C:$G,5,FALSE)</f>
        <v>3.39</v>
      </c>
      <c r="F40" s="153">
        <f t="shared" si="53"/>
        <v>3.1308041079427511E-3</v>
      </c>
      <c r="G40" s="136"/>
      <c r="H40" s="150">
        <f>VLOOKUP($B40&amp;"2",Data!$C:$G,2,FALSE)</f>
        <v>7</v>
      </c>
      <c r="I40" s="151">
        <f>VLOOKUP($B40&amp;"2",Data!$C:$G,4,FALSE)</f>
        <v>8.4027777777777781E-3</v>
      </c>
      <c r="J40" s="152">
        <f>VLOOKUP($B40&amp;"2",Data!$C:$G,5,FALSE)</f>
        <v>3.2</v>
      </c>
      <c r="K40" s="153">
        <f t="shared" si="54"/>
        <v>2.6258680555555553E-3</v>
      </c>
      <c r="L40" s="136"/>
      <c r="M40" s="150">
        <f>VLOOKUP($B40&amp;"3",Data!$C:$G,2,FALSE)</f>
        <v>10</v>
      </c>
      <c r="N40" s="151">
        <f>VLOOKUP($B40&amp;"3",Data!$C:$G,4,FALSE)</f>
        <v>1.2141203703703704E-2</v>
      </c>
      <c r="O40" s="152">
        <f>VLOOKUP($B40&amp;"3",Data!$C:$G,5,FALSE)</f>
        <v>3.7</v>
      </c>
      <c r="P40" s="153">
        <f t="shared" si="55"/>
        <v>3.2814064064064065E-3</v>
      </c>
      <c r="Q40" s="136"/>
      <c r="R40" s="150">
        <f>VLOOKUP($B40&amp;"4",Data!$C:$G,2,FALSE)</f>
        <v>16</v>
      </c>
      <c r="S40" s="151">
        <f>VLOOKUP($B40&amp;"4",Data!$C:$G,4,FALSE)</f>
        <v>1.1006944444444444E-2</v>
      </c>
      <c r="T40" s="152">
        <f>VLOOKUP($B40&amp;"4",Data!$C:$G,5,FALSE)</f>
        <v>3.66</v>
      </c>
      <c r="U40" s="153">
        <f t="shared" si="56"/>
        <v>3.0073618700667878E-3</v>
      </c>
      <c r="V40" s="136"/>
      <c r="W40" s="154">
        <f t="shared" si="57"/>
        <v>13.95</v>
      </c>
      <c r="X40" s="155">
        <f t="shared" si="58"/>
        <v>4.2164351851851856E-2</v>
      </c>
      <c r="Y40" s="153">
        <f t="shared" si="59"/>
        <v>3.0225341829284488E-3</v>
      </c>
      <c r="Z40" s="136"/>
      <c r="AA40" s="156">
        <f t="shared" si="52"/>
        <v>3</v>
      </c>
      <c r="AB40" s="156">
        <f>VLOOKUP(B40,'Team Selection'!$J$14:$L$49,3,FALSE)</f>
        <v>29</v>
      </c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1:37" x14ac:dyDescent="0.2">
      <c r="A41" s="148"/>
      <c r="B41" s="169" t="str">
        <f>+'Team Selection'!J8</f>
        <v>Martin Fry</v>
      </c>
      <c r="C41" s="150">
        <f>VLOOKUP($B41&amp;"1",Data!$C:$G,2,FALSE)</f>
        <v>3</v>
      </c>
      <c r="D41" s="151">
        <f>VLOOKUP($B41&amp;"1",Data!$C:$G,4,FALSE)</f>
        <v>1.0787037037037038E-2</v>
      </c>
      <c r="E41" s="152">
        <f>VLOOKUP($B41&amp;"1",Data!$C:$G,5,FALSE)</f>
        <v>3.39</v>
      </c>
      <c r="F41" s="153">
        <f t="shared" si="53"/>
        <v>3.1820168250846718E-3</v>
      </c>
      <c r="G41" s="136"/>
      <c r="H41" s="150">
        <f>VLOOKUP($B41&amp;"2",Data!$C:$G,2,FALSE)</f>
        <v>7</v>
      </c>
      <c r="I41" s="151">
        <f>VLOOKUP($B41&amp;"2",Data!$C:$G,4,FALSE)</f>
        <v>8.217592592592594E-3</v>
      </c>
      <c r="J41" s="152">
        <f>VLOOKUP($B41&amp;"2",Data!$C:$G,5,FALSE)</f>
        <v>3.2</v>
      </c>
      <c r="K41" s="153">
        <f t="shared" si="54"/>
        <v>2.5679976851851853E-3</v>
      </c>
      <c r="L41" s="136"/>
      <c r="M41" s="150">
        <f>VLOOKUP($B41&amp;"3",Data!$C:$G,2,FALSE)</f>
        <v>9</v>
      </c>
      <c r="N41" s="151">
        <f>VLOOKUP($B41&amp;"3",Data!$C:$G,4,FALSE)</f>
        <v>1.255787037037037E-2</v>
      </c>
      <c r="O41" s="152">
        <f>VLOOKUP($B41&amp;"3",Data!$C:$G,5,FALSE)</f>
        <v>3.66</v>
      </c>
      <c r="P41" s="153">
        <f t="shared" si="55"/>
        <v>3.4311121230520135E-3</v>
      </c>
      <c r="Q41" s="136"/>
      <c r="R41" s="150">
        <f>VLOOKUP($B41&amp;"4",Data!$C:$G,2,FALSE)</f>
        <v>14</v>
      </c>
      <c r="S41" s="151">
        <f>VLOOKUP($B41&amp;"4",Data!$C:$G,4,FALSE)</f>
        <v>1.3321759259259261E-2</v>
      </c>
      <c r="T41" s="152">
        <f>VLOOKUP($B41&amp;"4",Data!$C:$G,5,FALSE)</f>
        <v>4.21</v>
      </c>
      <c r="U41" s="153">
        <f t="shared" si="56"/>
        <v>3.1643133632444798E-3</v>
      </c>
      <c r="V41" s="136"/>
      <c r="W41" s="154">
        <f t="shared" si="57"/>
        <v>14.46</v>
      </c>
      <c r="X41" s="155">
        <f t="shared" si="58"/>
        <v>4.4884259259259263E-2</v>
      </c>
      <c r="Y41" s="153">
        <f t="shared" si="59"/>
        <v>3.1040289944162698E-3</v>
      </c>
      <c r="Z41" s="136"/>
      <c r="AA41" s="156">
        <f t="shared" si="52"/>
        <v>5</v>
      </c>
      <c r="AB41" s="156">
        <f>VLOOKUP(B41,'Team Selection'!$J$14:$L$49,3,FALSE)</f>
        <v>26</v>
      </c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1:37" x14ac:dyDescent="0.2">
      <c r="A42" s="148"/>
      <c r="B42" s="169" t="str">
        <f>+'Team Selection'!J9</f>
        <v>Bao Hoang</v>
      </c>
      <c r="C42" s="150">
        <f>VLOOKUP($B42&amp;"1",Data!$C:$G,2,FALSE)</f>
        <v>3</v>
      </c>
      <c r="D42" s="151">
        <f>VLOOKUP($B42&amp;"1",Data!$C:$G,4,FALSE)</f>
        <v>1.0891203703703703E-2</v>
      </c>
      <c r="E42" s="152">
        <f>VLOOKUP($B42&amp;"1",Data!$C:$G,5,FALSE)</f>
        <v>3.39</v>
      </c>
      <c r="F42" s="153">
        <f t="shared" si="53"/>
        <v>3.2127444553698239E-3</v>
      </c>
      <c r="G42" s="136"/>
      <c r="H42" s="150">
        <f>VLOOKUP($B42&amp;"2",Data!$C:$G,2,FALSE)</f>
        <v>7</v>
      </c>
      <c r="I42" s="151">
        <f>VLOOKUP($B42&amp;"2",Data!$C:$G,4,FALSE)</f>
        <v>8.2986111111111108E-3</v>
      </c>
      <c r="J42" s="152">
        <f>VLOOKUP($B42&amp;"2",Data!$C:$G,5,FALSE)</f>
        <v>3.2</v>
      </c>
      <c r="K42" s="153">
        <f t="shared" si="54"/>
        <v>2.5933159722222221E-3</v>
      </c>
      <c r="L42" s="136"/>
      <c r="M42" s="150">
        <f>VLOOKUP($B42&amp;"3",Data!$C:$G,2,FALSE)</f>
        <v>9</v>
      </c>
      <c r="N42" s="151">
        <f>VLOOKUP($B42&amp;"3",Data!$C:$G,4,FALSE)</f>
        <v>1.2916666666666667E-2</v>
      </c>
      <c r="O42" s="152">
        <f>VLOOKUP($B42&amp;"3",Data!$C:$G,5,FALSE)</f>
        <v>3.66</v>
      </c>
      <c r="P42" s="153">
        <f t="shared" si="55"/>
        <v>3.5291438979963567E-3</v>
      </c>
      <c r="Q42" s="136"/>
      <c r="R42" s="150">
        <f>VLOOKUP($B42&amp;"4",Data!$C:$G,2,FALSE)</f>
        <v>14</v>
      </c>
      <c r="S42" s="151">
        <f>VLOOKUP($B42&amp;"4",Data!$C:$G,4,FALSE)</f>
        <v>1.3460648148148147E-2</v>
      </c>
      <c r="T42" s="152">
        <f>VLOOKUP($B42&amp;"4",Data!$C:$G,5,FALSE)</f>
        <v>4.21</v>
      </c>
      <c r="U42" s="153">
        <f t="shared" si="56"/>
        <v>3.1973035981349516E-3</v>
      </c>
      <c r="V42" s="136"/>
      <c r="W42" s="154">
        <f t="shared" si="57"/>
        <v>14.46</v>
      </c>
      <c r="X42" s="155">
        <f t="shared" si="58"/>
        <v>4.5567129629629624E-2</v>
      </c>
      <c r="Y42" s="153">
        <f t="shared" si="59"/>
        <v>3.1512537779826849E-3</v>
      </c>
      <c r="Z42" s="136"/>
      <c r="AA42" s="156">
        <f t="shared" si="52"/>
        <v>6</v>
      </c>
      <c r="AB42" s="156">
        <f>VLOOKUP(B42,'Team Selection'!$J$14:$L$49,3,FALSE)</f>
        <v>27</v>
      </c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x14ac:dyDescent="0.2">
      <c r="A43" s="148"/>
      <c r="B43" s="169" t="str">
        <f>+'Team Selection'!J10</f>
        <v>Dale Nardella</v>
      </c>
      <c r="C43" s="157">
        <f>VLOOKUP($B43&amp;"1",Data!$C:$G,2,FALSE)</f>
        <v>3</v>
      </c>
      <c r="D43" s="158">
        <f>VLOOKUP($B43&amp;"1",Data!$C:$G,4,FALSE)</f>
        <v>9.7685185185185184E-3</v>
      </c>
      <c r="E43" s="159">
        <f>VLOOKUP($B43&amp;"1",Data!$C:$G,5,FALSE)</f>
        <v>3.39</v>
      </c>
      <c r="F43" s="160">
        <f t="shared" si="53"/>
        <v>2.8815688845187371E-3</v>
      </c>
      <c r="G43" s="136"/>
      <c r="H43" s="157">
        <f>VLOOKUP($B43&amp;"2",Data!$C:$G,2,FALSE)</f>
        <v>7</v>
      </c>
      <c r="I43" s="158">
        <f>VLOOKUP($B43&amp;"2",Data!$C:$G,4,FALSE)</f>
        <v>7.7314814814814815E-3</v>
      </c>
      <c r="J43" s="159">
        <f>VLOOKUP($B43&amp;"2",Data!$C:$G,5,FALSE)</f>
        <v>3.2</v>
      </c>
      <c r="K43" s="160">
        <f t="shared" si="54"/>
        <v>2.4160879629629628E-3</v>
      </c>
      <c r="L43" s="136"/>
      <c r="M43" s="157">
        <f>VLOOKUP($B43&amp;"3",Data!$C:$G,2,FALSE)</f>
        <v>10</v>
      </c>
      <c r="N43" s="158">
        <f>VLOOKUP($B43&amp;"3",Data!$C:$G,4,FALSE)</f>
        <v>1.1481481481481483E-2</v>
      </c>
      <c r="O43" s="159">
        <f>VLOOKUP($B43&amp;"3",Data!$C:$G,5,FALSE)</f>
        <v>3.7</v>
      </c>
      <c r="P43" s="160">
        <f t="shared" si="55"/>
        <v>3.1031031031031036E-3</v>
      </c>
      <c r="Q43" s="136"/>
      <c r="R43" s="157">
        <f>VLOOKUP($B43&amp;"4",Data!$C:$G,2,FALSE)</f>
        <v>16</v>
      </c>
      <c r="S43" s="158">
        <f>VLOOKUP($B43&amp;"4",Data!$C:$G,4,FALSE)</f>
        <v>1.0625000000000001E-2</v>
      </c>
      <c r="T43" s="159">
        <f>VLOOKUP($B43&amp;"4",Data!$C:$G,5,FALSE)</f>
        <v>3.66</v>
      </c>
      <c r="U43" s="160">
        <f t="shared" si="56"/>
        <v>2.9030054644808745E-3</v>
      </c>
      <c r="V43" s="136"/>
      <c r="W43" s="161">
        <f t="shared" si="57"/>
        <v>13.95</v>
      </c>
      <c r="X43" s="162">
        <f t="shared" si="58"/>
        <v>3.9606481481481486E-2</v>
      </c>
      <c r="Y43" s="160">
        <f t="shared" si="59"/>
        <v>2.8391742997477768E-3</v>
      </c>
      <c r="Z43" s="136"/>
      <c r="AA43" s="156">
        <f t="shared" si="52"/>
        <v>1</v>
      </c>
      <c r="AB43" s="156">
        <f>VLOOKUP(B43,'Team Selection'!$J$14:$L$49,3,FALSE)</f>
        <v>25</v>
      </c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1:37" x14ac:dyDescent="0.2">
      <c r="A44" s="140"/>
      <c r="B44" s="136"/>
      <c r="C44" s="163"/>
      <c r="D44" s="164"/>
      <c r="E44" s="165"/>
      <c r="F44" s="164"/>
      <c r="G44" s="137"/>
      <c r="H44" s="163"/>
      <c r="I44" s="164"/>
      <c r="J44" s="165"/>
      <c r="K44" s="164"/>
      <c r="L44" s="137"/>
      <c r="M44" s="163"/>
      <c r="N44" s="164"/>
      <c r="O44" s="165"/>
      <c r="P44" s="164"/>
      <c r="Q44" s="137"/>
      <c r="R44" s="163"/>
      <c r="S44" s="164"/>
      <c r="T44" s="165"/>
      <c r="U44" s="164"/>
      <c r="V44" s="136"/>
      <c r="W44" s="170"/>
      <c r="X44" s="164"/>
      <c r="Y44" s="164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1:37" x14ac:dyDescent="0.2">
      <c r="A45" s="140"/>
      <c r="B45" s="136"/>
      <c r="C45" s="140"/>
      <c r="D45" s="172"/>
      <c r="E45" s="170"/>
      <c r="F45" s="172"/>
      <c r="G45" s="136"/>
      <c r="H45" s="140"/>
      <c r="I45" s="172"/>
      <c r="J45" s="170"/>
      <c r="K45" s="172"/>
      <c r="L45" s="136"/>
      <c r="M45" s="140"/>
      <c r="N45" s="172"/>
      <c r="O45" s="170"/>
      <c r="P45" s="172"/>
      <c r="Q45" s="136"/>
      <c r="R45" s="140"/>
      <c r="S45" s="172"/>
      <c r="T45" s="170"/>
      <c r="U45" s="172"/>
      <c r="V45" s="136"/>
      <c r="W45" s="170"/>
      <c r="X45" s="172"/>
      <c r="Y45" s="172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37" x14ac:dyDescent="0.2">
      <c r="A46" s="140"/>
      <c r="B46" s="136"/>
      <c r="C46" s="140"/>
      <c r="D46" s="172"/>
      <c r="E46" s="170"/>
      <c r="F46" s="172"/>
      <c r="G46" s="136"/>
      <c r="H46" s="140"/>
      <c r="I46" s="172"/>
      <c r="J46" s="170"/>
      <c r="K46" s="172"/>
      <c r="L46" s="136"/>
      <c r="M46" s="140"/>
      <c r="N46" s="172"/>
      <c r="O46" s="170"/>
      <c r="P46" s="172"/>
      <c r="Q46" s="136"/>
      <c r="R46" s="140"/>
      <c r="S46" s="172"/>
      <c r="T46" s="170"/>
      <c r="U46" s="172"/>
      <c r="V46" s="136"/>
      <c r="W46" s="170"/>
      <c r="X46" s="172"/>
      <c r="Y46" s="172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1:37" x14ac:dyDescent="0.2">
      <c r="A47" s="140"/>
      <c r="B47" s="136"/>
      <c r="C47" s="140"/>
      <c r="D47" s="172"/>
      <c r="E47" s="170"/>
      <c r="F47" s="172"/>
      <c r="G47" s="136"/>
      <c r="H47" s="140"/>
      <c r="I47" s="172"/>
      <c r="J47" s="170"/>
      <c r="K47" s="172"/>
      <c r="L47" s="136"/>
      <c r="M47" s="140"/>
      <c r="N47" s="172"/>
      <c r="O47" s="170"/>
      <c r="P47" s="172"/>
      <c r="Q47" s="136"/>
      <c r="R47" s="140"/>
      <c r="S47" s="172"/>
      <c r="T47" s="170"/>
      <c r="U47" s="172"/>
      <c r="V47" s="136"/>
      <c r="W47" s="170"/>
      <c r="X47" s="172"/>
      <c r="Y47" s="172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1:37" x14ac:dyDescent="0.2">
      <c r="A48" s="140"/>
      <c r="B48" s="136"/>
      <c r="C48" s="140"/>
      <c r="D48" s="172"/>
      <c r="E48" s="170"/>
      <c r="F48" s="172"/>
      <c r="G48" s="136"/>
      <c r="H48" s="140"/>
      <c r="I48" s="172"/>
      <c r="J48" s="170"/>
      <c r="K48" s="172"/>
      <c r="L48" s="136"/>
      <c r="M48" s="140"/>
      <c r="N48" s="172"/>
      <c r="O48" s="170"/>
      <c r="P48" s="172"/>
      <c r="Q48" s="136"/>
      <c r="R48" s="140"/>
      <c r="S48" s="172"/>
      <c r="T48" s="170"/>
      <c r="U48" s="172"/>
      <c r="V48" s="136"/>
      <c r="W48" s="170"/>
      <c r="X48" s="172"/>
      <c r="Y48" s="172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:37" x14ac:dyDescent="0.2">
      <c r="A49" s="140"/>
      <c r="B49" s="136"/>
      <c r="C49" s="140"/>
      <c r="D49" s="172"/>
      <c r="E49" s="170"/>
      <c r="F49" s="172"/>
      <c r="G49" s="136"/>
      <c r="H49" s="140"/>
      <c r="I49" s="172"/>
      <c r="J49" s="170"/>
      <c r="K49" s="172"/>
      <c r="L49" s="136"/>
      <c r="M49" s="140"/>
      <c r="N49" s="172"/>
      <c r="O49" s="170"/>
      <c r="P49" s="172"/>
      <c r="Q49" s="136"/>
      <c r="R49" s="140"/>
      <c r="S49" s="172"/>
      <c r="T49" s="170"/>
      <c r="U49" s="172"/>
      <c r="V49" s="136"/>
      <c r="W49" s="170"/>
      <c r="X49" s="172"/>
      <c r="Y49" s="172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:37" x14ac:dyDescent="0.2">
      <c r="A50" s="140"/>
      <c r="B50" s="136"/>
      <c r="C50" s="140"/>
      <c r="D50" s="172"/>
      <c r="E50" s="170"/>
      <c r="F50" s="172"/>
      <c r="G50" s="136"/>
      <c r="H50" s="140"/>
      <c r="I50" s="172"/>
      <c r="J50" s="170"/>
      <c r="K50" s="172"/>
      <c r="L50" s="136"/>
      <c r="M50" s="140"/>
      <c r="N50" s="173"/>
      <c r="O50" s="170"/>
      <c r="P50" s="172"/>
      <c r="Q50" s="136"/>
      <c r="R50" s="140"/>
      <c r="S50" s="172"/>
      <c r="T50" s="170"/>
      <c r="U50" s="172"/>
      <c r="V50" s="136"/>
      <c r="W50" s="170"/>
      <c r="X50" s="172"/>
      <c r="Y50" s="172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</row>
    <row r="51" spans="1:37" x14ac:dyDescent="0.2">
      <c r="A51" s="140"/>
      <c r="B51" s="136"/>
      <c r="C51" s="140"/>
      <c r="D51" s="172"/>
      <c r="E51" s="170"/>
      <c r="F51" s="172"/>
      <c r="G51" s="136"/>
      <c r="H51" s="140"/>
      <c r="I51" s="172"/>
      <c r="J51" s="170"/>
      <c r="K51" s="172"/>
      <c r="L51" s="136"/>
      <c r="M51" s="140"/>
      <c r="N51" s="172"/>
      <c r="O51" s="170"/>
      <c r="P51" s="172"/>
      <c r="Q51" s="136"/>
      <c r="R51" s="140"/>
      <c r="S51" s="172"/>
      <c r="T51" s="170"/>
      <c r="U51" s="172"/>
      <c r="V51" s="136"/>
      <c r="W51" s="170"/>
      <c r="X51" s="172"/>
      <c r="Y51" s="172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</row>
    <row r="52" spans="1:37" x14ac:dyDescent="0.2">
      <c r="A52" s="140"/>
      <c r="B52" s="136"/>
      <c r="C52" s="140"/>
      <c r="D52" s="172"/>
      <c r="E52" s="170"/>
      <c r="F52" s="172"/>
      <c r="G52" s="136"/>
      <c r="H52" s="140"/>
      <c r="I52" s="172"/>
      <c r="J52" s="170"/>
      <c r="K52" s="172"/>
      <c r="L52" s="136"/>
      <c r="M52" s="140"/>
      <c r="N52" s="172"/>
      <c r="O52" s="170"/>
      <c r="P52" s="172"/>
      <c r="Q52" s="136"/>
      <c r="R52" s="140"/>
      <c r="S52" s="172"/>
      <c r="T52" s="170"/>
      <c r="U52" s="172"/>
      <c r="V52" s="136"/>
      <c r="W52" s="170"/>
      <c r="X52" s="172"/>
      <c r="Y52" s="172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:37" x14ac:dyDescent="0.2">
      <c r="A53" s="140"/>
      <c r="B53" s="136"/>
      <c r="C53" s="140"/>
      <c r="D53" s="172"/>
      <c r="E53" s="170"/>
      <c r="F53" s="172"/>
      <c r="G53" s="136"/>
      <c r="H53" s="140"/>
      <c r="I53" s="172"/>
      <c r="J53" s="170"/>
      <c r="K53" s="172"/>
      <c r="L53" s="136"/>
      <c r="M53" s="140"/>
      <c r="N53" s="172"/>
      <c r="O53" s="170"/>
      <c r="P53" s="172"/>
      <c r="Q53" s="136"/>
      <c r="R53" s="140"/>
      <c r="S53" s="172"/>
      <c r="T53" s="170"/>
      <c r="U53" s="172"/>
      <c r="V53" s="136"/>
      <c r="W53" s="170"/>
      <c r="X53" s="172"/>
      <c r="Y53" s="172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  <row r="54" spans="1:37" x14ac:dyDescent="0.2">
      <c r="A54" s="140"/>
      <c r="B54" s="136"/>
      <c r="C54" s="140"/>
      <c r="D54" s="172"/>
      <c r="E54" s="170"/>
      <c r="F54" s="172"/>
      <c r="G54" s="136"/>
      <c r="H54" s="140"/>
      <c r="I54" s="172"/>
      <c r="J54" s="170"/>
      <c r="K54" s="172"/>
      <c r="L54" s="136"/>
      <c r="M54" s="140"/>
      <c r="N54" s="172"/>
      <c r="O54" s="170"/>
      <c r="P54" s="172"/>
      <c r="Q54" s="136"/>
      <c r="R54" s="140"/>
      <c r="S54" s="172"/>
      <c r="T54" s="170"/>
      <c r="U54" s="172"/>
      <c r="V54" s="136"/>
      <c r="W54" s="170"/>
      <c r="X54" s="172"/>
      <c r="Y54" s="172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</row>
  </sheetData>
  <phoneticPr fontId="0" type="noConversion"/>
  <pageMargins left="0.44" right="0.59" top="1.0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29"/>
  <sheetViews>
    <sheetView zoomScale="85" zoomScaleNormal="85" workbookViewId="0"/>
  </sheetViews>
  <sheetFormatPr defaultRowHeight="12.75" x14ac:dyDescent="0.2"/>
  <cols>
    <col min="1" max="1" width="14" style="6" customWidth="1"/>
    <col min="2" max="2" width="9.140625" style="6"/>
    <col min="3" max="3" width="20" style="6" customWidth="1"/>
    <col min="4" max="4" width="9.140625" style="6"/>
    <col min="5" max="5" width="20.7109375" customWidth="1"/>
  </cols>
  <sheetData>
    <row r="1" spans="1:7" x14ac:dyDescent="0.2">
      <c r="A1" s="6" t="s">
        <v>45</v>
      </c>
      <c r="B1" s="6" t="s">
        <v>0</v>
      </c>
      <c r="D1" s="6" t="s">
        <v>11</v>
      </c>
      <c r="E1" s="6" t="s">
        <v>37</v>
      </c>
      <c r="F1" s="6" t="s">
        <v>7</v>
      </c>
      <c r="G1" s="6" t="s">
        <v>38</v>
      </c>
    </row>
    <row r="2" spans="1:7" x14ac:dyDescent="0.2">
      <c r="A2" s="6">
        <f>COUNTIF(E$2:E2,E2)</f>
        <v>1</v>
      </c>
      <c r="B2" s="6">
        <v>1</v>
      </c>
      <c r="C2" s="6" t="str">
        <f>E2&amp;A2</f>
        <v>Matt Adams1</v>
      </c>
      <c r="D2" s="6">
        <v>1</v>
      </c>
      <c r="E2" t="str">
        <f>+'Stage Entry'!H4</f>
        <v>Matt Adams</v>
      </c>
      <c r="F2" s="99">
        <f>+'Stage Entry'!I4</f>
        <v>8.9583333333333338E-3</v>
      </c>
      <c r="G2" s="7">
        <f t="shared" ref="G2:G33" si="0">+Dist1</f>
        <v>3.39</v>
      </c>
    </row>
    <row r="3" spans="1:7" x14ac:dyDescent="0.2">
      <c r="A3" s="6">
        <f>COUNTIF(E$2:E3,E3)</f>
        <v>1</v>
      </c>
      <c r="B3" s="6">
        <v>2</v>
      </c>
      <c r="C3" s="6" t="str">
        <f t="shared" ref="C3:C51" si="1">E3&amp;A3</f>
        <v>Shane Fielding1</v>
      </c>
      <c r="D3" s="6">
        <v>1</v>
      </c>
      <c r="E3" t="str">
        <f>+'Stage Entry'!H5</f>
        <v>Shane Fielding</v>
      </c>
      <c r="F3" s="99">
        <f>+'Stage Entry'!I5</f>
        <v>9.571759259259259E-3</v>
      </c>
      <c r="G3" s="7">
        <f t="shared" si="0"/>
        <v>3.39</v>
      </c>
    </row>
    <row r="4" spans="1:7" x14ac:dyDescent="0.2">
      <c r="A4" s="6">
        <f>COUNTIF(E$2:E4,E4)</f>
        <v>1</v>
      </c>
      <c r="B4" s="6">
        <v>3</v>
      </c>
      <c r="C4" s="6" t="str">
        <f t="shared" si="1"/>
        <v>Julie-Ann Undrill1</v>
      </c>
      <c r="D4" s="6">
        <v>1</v>
      </c>
      <c r="E4" t="str">
        <f>+'Stage Entry'!H6</f>
        <v>Julie-Ann Undrill</v>
      </c>
      <c r="F4" s="99">
        <f>+'Stage Entry'!I6</f>
        <v>1.0162037037037037E-2</v>
      </c>
      <c r="G4" s="7">
        <f t="shared" si="0"/>
        <v>3.39</v>
      </c>
    </row>
    <row r="5" spans="1:7" x14ac:dyDescent="0.2">
      <c r="A5" s="6">
        <f>COUNTIF(E$2:E5,E5)</f>
        <v>1</v>
      </c>
      <c r="B5" s="6">
        <v>4</v>
      </c>
      <c r="C5" s="6" t="str">
        <f t="shared" si="1"/>
        <v>Thai Phan1</v>
      </c>
      <c r="D5" s="6">
        <v>1</v>
      </c>
      <c r="E5" t="str">
        <f>+'Stage Entry'!H7</f>
        <v>Thai Phan</v>
      </c>
      <c r="F5" s="99">
        <f>+'Stage Entry'!I7</f>
        <v>9.3171296296296283E-3</v>
      </c>
      <c r="G5" s="7">
        <f t="shared" si="0"/>
        <v>3.39</v>
      </c>
    </row>
    <row r="6" spans="1:7" x14ac:dyDescent="0.2">
      <c r="A6" s="6">
        <f>COUNTIF(E$2:E6,E6)</f>
        <v>1</v>
      </c>
      <c r="B6" s="6">
        <v>6</v>
      </c>
      <c r="C6" s="6" t="str">
        <f t="shared" si="1"/>
        <v>Anthony Mithen1</v>
      </c>
      <c r="D6" s="6">
        <v>1</v>
      </c>
      <c r="E6" t="str">
        <f>+'Stage Entry'!H8</f>
        <v>Anthony Mithen</v>
      </c>
      <c r="F6" s="99">
        <f>+'Stage Entry'!I8</f>
        <v>9.4560185185185181E-3</v>
      </c>
      <c r="G6" s="7">
        <f t="shared" si="0"/>
        <v>3.39</v>
      </c>
    </row>
    <row r="7" spans="1:7" x14ac:dyDescent="0.2">
      <c r="A7" s="6">
        <f>COUNTIF(E$2:E7,E7)</f>
        <v>1</v>
      </c>
      <c r="B7" s="6">
        <v>7</v>
      </c>
      <c r="C7" s="6" t="str">
        <f t="shared" si="1"/>
        <v>James Howe1</v>
      </c>
      <c r="D7" s="6">
        <v>1</v>
      </c>
      <c r="E7" t="str">
        <f>+'Stage Entry'!H9</f>
        <v>James Howe</v>
      </c>
      <c r="F7" s="99">
        <f>+'Stage Entry'!I9</f>
        <v>9.1203703703703707E-3</v>
      </c>
      <c r="G7" s="7">
        <f t="shared" si="0"/>
        <v>3.39</v>
      </c>
    </row>
    <row r="8" spans="1:7" x14ac:dyDescent="0.2">
      <c r="A8" s="6">
        <f>COUNTIF(E$2:E8,E8)</f>
        <v>1</v>
      </c>
      <c r="B8" s="6">
        <v>8</v>
      </c>
      <c r="C8" s="6" t="str">
        <f t="shared" si="1"/>
        <v>Scott Smith1</v>
      </c>
      <c r="D8" s="6">
        <v>1</v>
      </c>
      <c r="E8" t="str">
        <f>+'Stage Entry'!H10</f>
        <v>Scott Smith</v>
      </c>
      <c r="F8" s="99">
        <f>+'Stage Entry'!I10</f>
        <v>9.0509259259259258E-3</v>
      </c>
      <c r="G8" s="7">
        <f t="shared" si="0"/>
        <v>3.39</v>
      </c>
    </row>
    <row r="9" spans="1:7" x14ac:dyDescent="0.2">
      <c r="A9" s="6">
        <f>COUNTIF(E$2:E9,E9)</f>
        <v>1</v>
      </c>
      <c r="B9" s="6">
        <v>9</v>
      </c>
      <c r="C9" s="6" t="str">
        <f t="shared" si="1"/>
        <v>Richard Does1</v>
      </c>
      <c r="D9" s="6">
        <v>1</v>
      </c>
      <c r="E9" t="str">
        <f>+'Stage Entry'!H11</f>
        <v>Richard Does</v>
      </c>
      <c r="F9" s="99">
        <f>+'Stage Entry'!I11</f>
        <v>9.0162037037037034E-3</v>
      </c>
      <c r="G9" s="7">
        <f t="shared" si="0"/>
        <v>3.39</v>
      </c>
    </row>
    <row r="10" spans="1:7" x14ac:dyDescent="0.2">
      <c r="A10" s="6">
        <f>COUNTIF(E$2:E10,E10)</f>
        <v>1</v>
      </c>
      <c r="B10" s="6">
        <v>1</v>
      </c>
      <c r="C10" s="6" t="str">
        <f t="shared" si="1"/>
        <v>Beata Janetzki1</v>
      </c>
      <c r="D10" s="6">
        <v>2</v>
      </c>
      <c r="E10" t="str">
        <f>+'Stage Entry'!M4</f>
        <v>Beata Janetzki</v>
      </c>
      <c r="F10" s="99">
        <f>+'Stage Entry'!N4</f>
        <v>9.7106481481481471E-3</v>
      </c>
      <c r="G10" s="7">
        <f t="shared" si="0"/>
        <v>3.39</v>
      </c>
    </row>
    <row r="11" spans="1:7" x14ac:dyDescent="0.2">
      <c r="A11" s="6">
        <f>COUNTIF(E$2:E11,E11)</f>
        <v>1</v>
      </c>
      <c r="B11" s="6">
        <v>2</v>
      </c>
      <c r="C11" s="6" t="str">
        <f t="shared" si="1"/>
        <v>Scott Stacey1</v>
      </c>
      <c r="D11" s="6">
        <v>2</v>
      </c>
      <c r="E11" t="str">
        <f>+'Stage Entry'!M5</f>
        <v>Scott Stacey</v>
      </c>
      <c r="F11" s="99">
        <f>+'Stage Entry'!N5</f>
        <v>8.7962962962962968E-3</v>
      </c>
      <c r="G11" s="7">
        <f t="shared" si="0"/>
        <v>3.39</v>
      </c>
    </row>
    <row r="12" spans="1:7" x14ac:dyDescent="0.2">
      <c r="A12" s="6">
        <f>COUNTIF(E$2:E12,E12)</f>
        <v>1</v>
      </c>
      <c r="B12" s="6">
        <v>3</v>
      </c>
      <c r="C12" s="6" t="str">
        <f t="shared" si="1"/>
        <v>Glenn Carroll1</v>
      </c>
      <c r="D12" s="6">
        <v>2</v>
      </c>
      <c r="E12" t="str">
        <f>+'Stage Entry'!M6</f>
        <v>Glenn Carroll</v>
      </c>
      <c r="F12" s="99">
        <f>+'Stage Entry'!N6</f>
        <v>9.0393518518518522E-3</v>
      </c>
      <c r="G12" s="7">
        <f t="shared" si="0"/>
        <v>3.39</v>
      </c>
    </row>
    <row r="13" spans="1:7" x14ac:dyDescent="0.2">
      <c r="A13" s="6">
        <f>COUNTIF(E$2:E13,E13)</f>
        <v>1</v>
      </c>
      <c r="B13" s="6">
        <v>4</v>
      </c>
      <c r="C13" s="6" t="str">
        <f t="shared" si="1"/>
        <v>Chris Wright1</v>
      </c>
      <c r="D13" s="6">
        <v>2</v>
      </c>
      <c r="E13" t="str">
        <f>+'Stage Entry'!M7</f>
        <v>Chris Wright</v>
      </c>
      <c r="F13" s="99">
        <f>+'Stage Entry'!N7</f>
        <v>8.9814814814814809E-3</v>
      </c>
      <c r="G13" s="7">
        <f t="shared" si="0"/>
        <v>3.39</v>
      </c>
    </row>
    <row r="14" spans="1:7" x14ac:dyDescent="0.2">
      <c r="A14" s="6">
        <f>COUNTIF(E$2:E14,E14)</f>
        <v>1</v>
      </c>
      <c r="B14" s="6">
        <v>6</v>
      </c>
      <c r="C14" s="6" t="str">
        <f t="shared" si="1"/>
        <v>Garth Calder1</v>
      </c>
      <c r="D14" s="6">
        <v>2</v>
      </c>
      <c r="E14" t="str">
        <f>+'Stage Entry'!M8</f>
        <v>Garth Calder</v>
      </c>
      <c r="F14" s="99">
        <f>+'Stage Entry'!N8</f>
        <v>9.3981481481481485E-3</v>
      </c>
      <c r="G14" s="7">
        <f t="shared" si="0"/>
        <v>3.39</v>
      </c>
    </row>
    <row r="15" spans="1:7" x14ac:dyDescent="0.2">
      <c r="A15" s="6">
        <f>COUNTIF(E$2:E15,E15)</f>
        <v>1</v>
      </c>
      <c r="B15" s="6">
        <v>7</v>
      </c>
      <c r="C15" s="6" t="str">
        <f t="shared" si="1"/>
        <v>Brenton Norman1</v>
      </c>
      <c r="D15" s="6">
        <v>2</v>
      </c>
      <c r="E15" t="str">
        <f>+'Stage Entry'!M9</f>
        <v>Brenton Norman</v>
      </c>
      <c r="F15" s="99">
        <f>+'Stage Entry'!N9</f>
        <v>9.6874999999999999E-3</v>
      </c>
      <c r="G15" s="7">
        <f t="shared" si="0"/>
        <v>3.39</v>
      </c>
    </row>
    <row r="16" spans="1:7" x14ac:dyDescent="0.2">
      <c r="A16" s="6">
        <f>COUNTIF(E$2:E16,E16)</f>
        <v>1</v>
      </c>
      <c r="B16" s="6">
        <v>8</v>
      </c>
      <c r="C16" s="6" t="str">
        <f t="shared" si="1"/>
        <v>Andrew Pintar1</v>
      </c>
      <c r="D16" s="6">
        <v>2</v>
      </c>
      <c r="E16" t="str">
        <f>+'Stage Entry'!M10</f>
        <v>Andrew Pintar</v>
      </c>
      <c r="F16" s="99">
        <f>+'Stage Entry'!N10</f>
        <v>9.3749999999999997E-3</v>
      </c>
      <c r="G16" s="7">
        <f t="shared" si="0"/>
        <v>3.39</v>
      </c>
    </row>
    <row r="17" spans="1:7" x14ac:dyDescent="0.2">
      <c r="A17" s="6">
        <f>COUNTIF(E$2:E17,E17)</f>
        <v>1</v>
      </c>
      <c r="B17" s="6">
        <v>9</v>
      </c>
      <c r="C17" s="6" t="str">
        <f t="shared" si="1"/>
        <v>Chris Wade1</v>
      </c>
      <c r="D17" s="6">
        <v>2</v>
      </c>
      <c r="E17" t="str">
        <f>+'Stage Entry'!M11</f>
        <v>Chris Wade</v>
      </c>
      <c r="F17" s="99">
        <f>+'Stage Entry'!N11</f>
        <v>9.6874999999999999E-3</v>
      </c>
      <c r="G17" s="7">
        <f t="shared" si="0"/>
        <v>3.39</v>
      </c>
    </row>
    <row r="18" spans="1:7" x14ac:dyDescent="0.2">
      <c r="A18" s="6">
        <f>COUNTIF(E$2:E18,E18)</f>
        <v>1</v>
      </c>
      <c r="B18" s="6">
        <v>1</v>
      </c>
      <c r="C18" s="6" t="str">
        <f t="shared" si="1"/>
        <v>Anna Locarnini1</v>
      </c>
      <c r="D18" s="6">
        <v>3</v>
      </c>
      <c r="E18" t="str">
        <f>+'Stage Entry'!R4</f>
        <v>Anna Locarnini</v>
      </c>
      <c r="F18" s="99">
        <f>+'Stage Entry'!S4</f>
        <v>1.119212962962963E-2</v>
      </c>
      <c r="G18" s="7">
        <f t="shared" si="0"/>
        <v>3.39</v>
      </c>
    </row>
    <row r="19" spans="1:7" x14ac:dyDescent="0.2">
      <c r="A19" s="6">
        <f>COUNTIF(E$2:E19,E19)</f>
        <v>1</v>
      </c>
      <c r="B19" s="6">
        <v>2</v>
      </c>
      <c r="C19" s="6" t="str">
        <f t="shared" si="1"/>
        <v>Hugh Hunter1</v>
      </c>
      <c r="D19" s="6">
        <v>3</v>
      </c>
      <c r="E19" t="str">
        <f>+'Stage Entry'!R5</f>
        <v>Hugh Hunter</v>
      </c>
      <c r="F19" s="99">
        <f>+'Stage Entry'!S5</f>
        <v>1.1875000000000002E-2</v>
      </c>
      <c r="G19" s="7">
        <f t="shared" si="0"/>
        <v>3.39</v>
      </c>
    </row>
    <row r="20" spans="1:7" x14ac:dyDescent="0.2">
      <c r="A20" s="6">
        <f>COUNTIF(E$2:E20,E20)</f>
        <v>1</v>
      </c>
      <c r="B20" s="6">
        <v>3</v>
      </c>
      <c r="C20" s="6" t="str">
        <f t="shared" si="1"/>
        <v>Mel Jansen1</v>
      </c>
      <c r="D20" s="6">
        <v>3</v>
      </c>
      <c r="E20" t="str">
        <f>+'Stage Entry'!R6</f>
        <v>Mel Jansen</v>
      </c>
      <c r="F20" s="99">
        <f>+'Stage Entry'!S6</f>
        <v>1.0439814814814813E-2</v>
      </c>
      <c r="G20" s="7">
        <f t="shared" si="0"/>
        <v>3.39</v>
      </c>
    </row>
    <row r="21" spans="1:7" x14ac:dyDescent="0.2">
      <c r="A21" s="6">
        <f>COUNTIF(E$2:E21,E21)</f>
        <v>1</v>
      </c>
      <c r="B21" s="6">
        <v>4</v>
      </c>
      <c r="C21" s="6" t="str">
        <f t="shared" si="1"/>
        <v>Nick Tobin1</v>
      </c>
      <c r="D21" s="6">
        <v>3</v>
      </c>
      <c r="E21" t="str">
        <f>+'Stage Entry'!R7</f>
        <v>Nick Tobin</v>
      </c>
      <c r="F21" s="99">
        <f>+'Stage Entry'!S7</f>
        <v>1.0208333333333333E-2</v>
      </c>
      <c r="G21" s="7">
        <f t="shared" si="0"/>
        <v>3.39</v>
      </c>
    </row>
    <row r="22" spans="1:7" x14ac:dyDescent="0.2">
      <c r="A22" s="6">
        <f>COUNTIF(E$2:E22,E22)</f>
        <v>1</v>
      </c>
      <c r="B22" s="6">
        <v>6</v>
      </c>
      <c r="C22" s="6" t="str">
        <f t="shared" si="1"/>
        <v>Luke Pengelly1</v>
      </c>
      <c r="D22" s="6">
        <v>3</v>
      </c>
      <c r="E22" t="str">
        <f>+'Stage Entry'!R8</f>
        <v>Luke Pengelly</v>
      </c>
      <c r="F22" s="99">
        <f>+'Stage Entry'!S8</f>
        <v>1.0613425925925927E-2</v>
      </c>
      <c r="G22" s="7">
        <f t="shared" si="0"/>
        <v>3.39</v>
      </c>
    </row>
    <row r="23" spans="1:7" x14ac:dyDescent="0.2">
      <c r="A23" s="6">
        <f>COUNTIF(E$2:E23,E23)</f>
        <v>1</v>
      </c>
      <c r="B23" s="6">
        <v>7</v>
      </c>
      <c r="C23" s="6" t="str">
        <f t="shared" si="1"/>
        <v>Martin Fry1</v>
      </c>
      <c r="D23" s="6">
        <v>3</v>
      </c>
      <c r="E23" t="str">
        <f>+'Stage Entry'!R9</f>
        <v>Martin Fry</v>
      </c>
      <c r="F23" s="99">
        <f>+'Stage Entry'!S9</f>
        <v>1.0787037037037038E-2</v>
      </c>
      <c r="G23" s="7">
        <f t="shared" si="0"/>
        <v>3.39</v>
      </c>
    </row>
    <row r="24" spans="1:7" x14ac:dyDescent="0.2">
      <c r="A24" s="6">
        <f>COUNTIF(E$2:E24,E24)</f>
        <v>1</v>
      </c>
      <c r="B24" s="6">
        <v>8</v>
      </c>
      <c r="C24" s="6" t="str">
        <f t="shared" si="1"/>
        <v>Bao Hoang1</v>
      </c>
      <c r="D24" s="6">
        <v>3</v>
      </c>
      <c r="E24" t="str">
        <f>+'Stage Entry'!R10</f>
        <v>Bao Hoang</v>
      </c>
      <c r="F24" s="99">
        <f>+'Stage Entry'!S10</f>
        <v>1.0891203703703703E-2</v>
      </c>
      <c r="G24" s="7">
        <f t="shared" si="0"/>
        <v>3.39</v>
      </c>
    </row>
    <row r="25" spans="1:7" x14ac:dyDescent="0.2">
      <c r="A25" s="6">
        <f>COUNTIF(E$2:E25,E25)</f>
        <v>1</v>
      </c>
      <c r="B25" s="6">
        <v>9</v>
      </c>
      <c r="C25" s="6" t="str">
        <f t="shared" si="1"/>
        <v>Dale Nardella1</v>
      </c>
      <c r="D25" s="6">
        <v>3</v>
      </c>
      <c r="E25" t="str">
        <f>+'Stage Entry'!R11</f>
        <v>Dale Nardella</v>
      </c>
      <c r="F25" s="99">
        <f>+'Stage Entry'!S11</f>
        <v>9.7685185185185184E-3</v>
      </c>
      <c r="G25" s="7">
        <f t="shared" si="0"/>
        <v>3.39</v>
      </c>
    </row>
    <row r="26" spans="1:7" x14ac:dyDescent="0.2">
      <c r="A26" s="6">
        <f>COUNTIF(E$2:E26,E26)</f>
        <v>1</v>
      </c>
      <c r="B26" s="6">
        <v>1</v>
      </c>
      <c r="C26" s="6" t="str">
        <f t="shared" si="1"/>
        <v>Dion Finocchiaro1</v>
      </c>
      <c r="D26" s="6">
        <v>4</v>
      </c>
      <c r="E26" t="str">
        <f>+'Stage Entry'!W4</f>
        <v>Dion Finocchiaro</v>
      </c>
      <c r="F26" s="99">
        <f>+'Stage Entry'!X4</f>
        <v>7.8009259259259256E-3</v>
      </c>
      <c r="G26" s="7">
        <f t="shared" si="0"/>
        <v>3.39</v>
      </c>
    </row>
    <row r="27" spans="1:7" x14ac:dyDescent="0.2">
      <c r="A27" s="6">
        <f>COUNTIF(E$2:E27,E27)</f>
        <v>1</v>
      </c>
      <c r="B27" s="6">
        <v>2</v>
      </c>
      <c r="C27" s="6" t="str">
        <f t="shared" si="1"/>
        <v>Tait Ovens1</v>
      </c>
      <c r="D27" s="6">
        <v>4</v>
      </c>
      <c r="E27" t="str">
        <f>+'Stage Entry'!W5</f>
        <v>Tait Ovens</v>
      </c>
      <c r="F27" s="99">
        <f>+'Stage Entry'!X5</f>
        <v>8.4143518518518517E-3</v>
      </c>
      <c r="G27" s="7">
        <f t="shared" si="0"/>
        <v>3.39</v>
      </c>
    </row>
    <row r="28" spans="1:7" x14ac:dyDescent="0.2">
      <c r="A28" s="6">
        <f>COUNTIF(E$2:E28,E28)</f>
        <v>1</v>
      </c>
      <c r="B28" s="6">
        <v>3</v>
      </c>
      <c r="C28" s="6" t="str">
        <f t="shared" si="1"/>
        <v>Darren Bowden1</v>
      </c>
      <c r="D28" s="6">
        <v>4</v>
      </c>
      <c r="E28" t="str">
        <f>+'Stage Entry'!W6</f>
        <v>Darren Bowden</v>
      </c>
      <c r="F28" s="99">
        <f>+'Stage Entry'!X6</f>
        <v>8.7847222222222233E-3</v>
      </c>
      <c r="G28" s="7">
        <f t="shared" si="0"/>
        <v>3.39</v>
      </c>
    </row>
    <row r="29" spans="1:7" x14ac:dyDescent="0.2">
      <c r="A29" s="6">
        <f>COUNTIF(E$2:E29,E29)</f>
        <v>1</v>
      </c>
      <c r="B29" s="6">
        <v>4</v>
      </c>
      <c r="C29" s="6" t="str">
        <f t="shared" si="1"/>
        <v>Simon Tu1</v>
      </c>
      <c r="D29" s="6">
        <v>4</v>
      </c>
      <c r="E29" t="str">
        <f>+'Stage Entry'!W7</f>
        <v>Simon Tu</v>
      </c>
      <c r="F29" s="99">
        <f>+'Stage Entry'!X7</f>
        <v>8.6342592592592599E-3</v>
      </c>
      <c r="G29" s="7">
        <f t="shared" si="0"/>
        <v>3.39</v>
      </c>
    </row>
    <row r="30" spans="1:7" x14ac:dyDescent="0.2">
      <c r="A30" s="6">
        <f>COUNTIF(E$2:E30,E30)</f>
        <v>1</v>
      </c>
      <c r="B30" s="6">
        <v>6</v>
      </c>
      <c r="C30" s="6" t="str">
        <f t="shared" si="1"/>
        <v>David Hartley1</v>
      </c>
      <c r="D30" s="6">
        <v>4</v>
      </c>
      <c r="E30" t="str">
        <f>+'Stage Entry'!W8</f>
        <v>David Hartley</v>
      </c>
      <c r="F30" s="99">
        <f>+'Stage Entry'!X8</f>
        <v>8.9236111111111113E-3</v>
      </c>
      <c r="G30" s="7">
        <f t="shared" si="0"/>
        <v>3.39</v>
      </c>
    </row>
    <row r="31" spans="1:7" x14ac:dyDescent="0.2">
      <c r="A31" s="6">
        <f>COUNTIF(E$2:E31,E31)</f>
        <v>1</v>
      </c>
      <c r="B31" s="6">
        <v>7</v>
      </c>
      <c r="C31" s="6" t="str">
        <f t="shared" si="1"/>
        <v>David Alcock1</v>
      </c>
      <c r="D31" s="6">
        <v>4</v>
      </c>
      <c r="E31" t="str">
        <f>+'Stage Entry'!W9</f>
        <v>David Alcock</v>
      </c>
      <c r="F31" s="99">
        <f>+'Stage Entry'!X9</f>
        <v>8.9930555555555545E-3</v>
      </c>
      <c r="G31" s="7">
        <f t="shared" si="0"/>
        <v>3.39</v>
      </c>
    </row>
    <row r="32" spans="1:7" x14ac:dyDescent="0.2">
      <c r="A32" s="6">
        <f>COUNTIF(E$2:E32,E32)</f>
        <v>1</v>
      </c>
      <c r="B32" s="6">
        <v>8</v>
      </c>
      <c r="C32" s="6" t="str">
        <f t="shared" si="1"/>
        <v>Daniel Hall1</v>
      </c>
      <c r="D32" s="6">
        <v>4</v>
      </c>
      <c r="E32" t="str">
        <f>+'Stage Entry'!W10</f>
        <v>Daniel Hall</v>
      </c>
      <c r="F32" s="99">
        <f>+'Stage Entry'!X10</f>
        <v>8.518518518518519E-3</v>
      </c>
      <c r="G32" s="7">
        <f t="shared" si="0"/>
        <v>3.39</v>
      </c>
    </row>
    <row r="33" spans="1:7" x14ac:dyDescent="0.2">
      <c r="A33" s="6">
        <f>COUNTIF(E$2:E33,E33)</f>
        <v>1</v>
      </c>
      <c r="B33" s="6">
        <v>9</v>
      </c>
      <c r="C33" s="6" t="str">
        <f t="shared" si="1"/>
        <v>Tony Langelaan1</v>
      </c>
      <c r="D33" s="6">
        <v>4</v>
      </c>
      <c r="E33" t="str">
        <f>+'Stage Entry'!W11</f>
        <v>Tony Langelaan</v>
      </c>
      <c r="F33" s="99">
        <f>+'Stage Entry'!X11</f>
        <v>8.8541666666666664E-3</v>
      </c>
      <c r="G33" s="7">
        <f t="shared" si="0"/>
        <v>3.39</v>
      </c>
    </row>
    <row r="34" spans="1:7" x14ac:dyDescent="0.2">
      <c r="A34" s="6">
        <f>COUNTIF(E$2:E34,E34)</f>
        <v>2</v>
      </c>
      <c r="B34" s="6">
        <v>1</v>
      </c>
      <c r="C34" s="6" t="str">
        <f t="shared" si="1"/>
        <v>Matt Adams2</v>
      </c>
      <c r="D34" s="6">
        <v>5</v>
      </c>
      <c r="E34" t="str">
        <f>+'Stage Entry'!AB4</f>
        <v>Matt Adams</v>
      </c>
      <c r="F34" s="99">
        <f>+'Stage Entry'!AC4</f>
        <v>1.2199074074074072E-2</v>
      </c>
      <c r="G34" s="7">
        <f t="shared" ref="G34:G41" si="2">Dist4</f>
        <v>4</v>
      </c>
    </row>
    <row r="35" spans="1:7" x14ac:dyDescent="0.2">
      <c r="A35" s="6">
        <f>COUNTIF(E$2:E35,E35)</f>
        <v>2</v>
      </c>
      <c r="B35" s="6">
        <v>2</v>
      </c>
      <c r="C35" s="6" t="str">
        <f t="shared" si="1"/>
        <v>Shane Fielding2</v>
      </c>
      <c r="D35" s="6">
        <v>5</v>
      </c>
      <c r="E35" t="str">
        <f>+'Stage Entry'!AB5</f>
        <v>Shane Fielding</v>
      </c>
      <c r="F35" s="99">
        <f>+'Stage Entry'!AC5</f>
        <v>1.2465277777777777E-2</v>
      </c>
      <c r="G35" s="7">
        <f t="shared" si="2"/>
        <v>4</v>
      </c>
    </row>
    <row r="36" spans="1:7" x14ac:dyDescent="0.2">
      <c r="A36" s="6">
        <f>COUNTIF(E$2:E36,E36)</f>
        <v>2</v>
      </c>
      <c r="B36" s="6">
        <v>3</v>
      </c>
      <c r="C36" s="6" t="str">
        <f t="shared" si="1"/>
        <v>Julie-Ann Undrill2</v>
      </c>
      <c r="D36" s="6">
        <v>5</v>
      </c>
      <c r="E36" t="str">
        <f>+'Stage Entry'!AB6</f>
        <v>Julie-Ann Undrill</v>
      </c>
      <c r="F36" s="99">
        <f>+'Stage Entry'!AC6</f>
        <v>1.3032407407407407E-2</v>
      </c>
      <c r="G36" s="7">
        <f t="shared" si="2"/>
        <v>4</v>
      </c>
    </row>
    <row r="37" spans="1:7" x14ac:dyDescent="0.2">
      <c r="A37" s="6">
        <f>COUNTIF(E$2:E37,E37)</f>
        <v>2</v>
      </c>
      <c r="B37" s="6">
        <v>4</v>
      </c>
      <c r="C37" s="6" t="str">
        <f t="shared" si="1"/>
        <v>Thai Phan2</v>
      </c>
      <c r="D37" s="6">
        <v>5</v>
      </c>
      <c r="E37" t="str">
        <f>+'Stage Entry'!AB7</f>
        <v>Thai Phan</v>
      </c>
      <c r="F37" s="99">
        <f>+'Stage Entry'!AC7</f>
        <v>1.1932870370370371E-2</v>
      </c>
      <c r="G37" s="7">
        <f t="shared" si="2"/>
        <v>4</v>
      </c>
    </row>
    <row r="38" spans="1:7" x14ac:dyDescent="0.2">
      <c r="A38" s="6">
        <f>COUNTIF(E$2:E38,E38)</f>
        <v>2</v>
      </c>
      <c r="B38" s="6">
        <v>6</v>
      </c>
      <c r="C38" s="6" t="str">
        <f t="shared" si="1"/>
        <v>Anthony Mithen2</v>
      </c>
      <c r="D38" s="6">
        <v>5</v>
      </c>
      <c r="E38" t="str">
        <f>+'Stage Entry'!AB8</f>
        <v>Anthony Mithen</v>
      </c>
      <c r="F38" s="99">
        <f>+'Stage Entry'!AC8</f>
        <v>1.2280092592592592E-2</v>
      </c>
      <c r="G38" s="7">
        <f t="shared" si="2"/>
        <v>4</v>
      </c>
    </row>
    <row r="39" spans="1:7" x14ac:dyDescent="0.2">
      <c r="A39" s="6">
        <f>COUNTIF(E$2:E39,E39)</f>
        <v>2</v>
      </c>
      <c r="B39" s="6">
        <v>7</v>
      </c>
      <c r="C39" s="6" t="str">
        <f t="shared" si="1"/>
        <v>James Howe2</v>
      </c>
      <c r="D39" s="6">
        <v>5</v>
      </c>
      <c r="E39" t="str">
        <f>+'Stage Entry'!AB9</f>
        <v>James Howe</v>
      </c>
      <c r="F39" s="99">
        <f>+'Stage Entry'!AC9</f>
        <v>1.2106481481481482E-2</v>
      </c>
      <c r="G39" s="7">
        <f t="shared" si="2"/>
        <v>4</v>
      </c>
    </row>
    <row r="40" spans="1:7" x14ac:dyDescent="0.2">
      <c r="A40" s="6">
        <f>COUNTIF(E$2:E40,E40)</f>
        <v>2</v>
      </c>
      <c r="B40" s="6">
        <v>8</v>
      </c>
      <c r="C40" s="6" t="str">
        <f t="shared" si="1"/>
        <v>Scott Smith2</v>
      </c>
      <c r="D40" s="6">
        <v>5</v>
      </c>
      <c r="E40" t="str">
        <f>+'Stage Entry'!AB10</f>
        <v>Scott Smith</v>
      </c>
      <c r="F40" s="99">
        <f>+'Stage Entry'!AC10</f>
        <v>1.1759259259259259E-2</v>
      </c>
      <c r="G40" s="7">
        <f t="shared" si="2"/>
        <v>4</v>
      </c>
    </row>
    <row r="41" spans="1:7" x14ac:dyDescent="0.2">
      <c r="A41" s="6">
        <f>COUNTIF(E$2:E41,E41)</f>
        <v>2</v>
      </c>
      <c r="B41" s="6">
        <v>9</v>
      </c>
      <c r="C41" s="6" t="str">
        <f t="shared" si="1"/>
        <v>Richard Does2</v>
      </c>
      <c r="D41" s="6">
        <v>5</v>
      </c>
      <c r="E41" t="str">
        <f>+'Stage Entry'!AB11</f>
        <v>Richard Does</v>
      </c>
      <c r="F41" s="99">
        <f>+'Stage Entry'!AC11</f>
        <v>1.1886574074074075E-2</v>
      </c>
      <c r="G41" s="7">
        <f t="shared" si="2"/>
        <v>4</v>
      </c>
    </row>
    <row r="42" spans="1:7" x14ac:dyDescent="0.2">
      <c r="A42" s="6">
        <f>COUNTIF(E$2:E42,E42)</f>
        <v>2</v>
      </c>
      <c r="B42" s="6">
        <v>1</v>
      </c>
      <c r="C42" s="6" t="str">
        <f t="shared" si="1"/>
        <v>Beata Janetzki2</v>
      </c>
      <c r="D42" s="6">
        <v>6</v>
      </c>
      <c r="E42" t="str">
        <f>+'Stage Entry'!AG4</f>
        <v>Beata Janetzki</v>
      </c>
      <c r="F42" s="99">
        <f>+'Stage Entry'!AH4</f>
        <v>1.1284722222222222E-2</v>
      </c>
      <c r="G42" s="7">
        <f t="shared" ref="G42:G49" si="3">Dist5</f>
        <v>4.2699999999999996</v>
      </c>
    </row>
    <row r="43" spans="1:7" x14ac:dyDescent="0.2">
      <c r="A43" s="6">
        <f>COUNTIF(E$2:E43,E43)</f>
        <v>2</v>
      </c>
      <c r="B43" s="6">
        <v>2</v>
      </c>
      <c r="C43" s="6" t="str">
        <f t="shared" si="1"/>
        <v>Scott Stacey2</v>
      </c>
      <c r="D43" s="6">
        <v>6</v>
      </c>
      <c r="E43" t="str">
        <f>+'Stage Entry'!AG5</f>
        <v>Scott Stacey</v>
      </c>
      <c r="F43" s="99">
        <f>+'Stage Entry'!AH5</f>
        <v>1.019675925925926E-2</v>
      </c>
      <c r="G43" s="7">
        <f t="shared" si="3"/>
        <v>4.2699999999999996</v>
      </c>
    </row>
    <row r="44" spans="1:7" x14ac:dyDescent="0.2">
      <c r="A44" s="6">
        <f>COUNTIF(E$2:E44,E44)</f>
        <v>2</v>
      </c>
      <c r="B44" s="6">
        <v>3</v>
      </c>
      <c r="C44" s="6" t="str">
        <f t="shared" si="1"/>
        <v>Glenn Carroll2</v>
      </c>
      <c r="D44" s="6">
        <v>6</v>
      </c>
      <c r="E44" t="str">
        <f>+'Stage Entry'!AG6</f>
        <v>Glenn Carroll</v>
      </c>
      <c r="F44" s="99">
        <f>+'Stage Entry'!AH6</f>
        <v>1.0474537037037037E-2</v>
      </c>
      <c r="G44" s="7">
        <f t="shared" si="3"/>
        <v>4.2699999999999996</v>
      </c>
    </row>
    <row r="45" spans="1:7" x14ac:dyDescent="0.2">
      <c r="A45" s="6">
        <f>COUNTIF(E$2:E45,E45)</f>
        <v>2</v>
      </c>
      <c r="B45" s="6">
        <v>4</v>
      </c>
      <c r="C45" s="6" t="str">
        <f t="shared" si="1"/>
        <v>Chris Wright2</v>
      </c>
      <c r="D45" s="6">
        <v>6</v>
      </c>
      <c r="E45" t="str">
        <f>+'Stage Entry'!AG7</f>
        <v>Chris Wright</v>
      </c>
      <c r="F45" s="99">
        <f>+'Stage Entry'!AH7</f>
        <v>1.1030092592592591E-2</v>
      </c>
      <c r="G45" s="7">
        <f t="shared" si="3"/>
        <v>4.2699999999999996</v>
      </c>
    </row>
    <row r="46" spans="1:7" x14ac:dyDescent="0.2">
      <c r="A46" s="6">
        <f>COUNTIF(E$2:E46,E46)</f>
        <v>2</v>
      </c>
      <c r="B46" s="6">
        <v>6</v>
      </c>
      <c r="C46" s="6" t="str">
        <f t="shared" si="1"/>
        <v>Garth Calder2</v>
      </c>
      <c r="D46" s="6">
        <v>6</v>
      </c>
      <c r="E46" t="str">
        <f>+'Stage Entry'!AG8</f>
        <v>Garth Calder</v>
      </c>
      <c r="F46" s="99">
        <f>+'Stage Entry'!AH8</f>
        <v>1.1157407407407408E-2</v>
      </c>
      <c r="G46" s="7">
        <f t="shared" si="3"/>
        <v>4.2699999999999996</v>
      </c>
    </row>
    <row r="47" spans="1:7" x14ac:dyDescent="0.2">
      <c r="A47" s="6">
        <f>COUNTIF(E$2:E47,E47)</f>
        <v>2</v>
      </c>
      <c r="B47" s="6">
        <v>7</v>
      </c>
      <c r="C47" s="6" t="str">
        <f t="shared" si="1"/>
        <v>Brenton Norman2</v>
      </c>
      <c r="D47" s="6">
        <v>6</v>
      </c>
      <c r="E47" t="str">
        <f>+'Stage Entry'!AG9</f>
        <v>Brenton Norman</v>
      </c>
      <c r="F47" s="99">
        <f>+'Stage Entry'!AH9</f>
        <v>1.1261574074074071E-2</v>
      </c>
      <c r="G47" s="7">
        <f t="shared" si="3"/>
        <v>4.2699999999999996</v>
      </c>
    </row>
    <row r="48" spans="1:7" x14ac:dyDescent="0.2">
      <c r="A48" s="6">
        <f>COUNTIF(E$2:E48,E48)</f>
        <v>2</v>
      </c>
      <c r="B48" s="6">
        <v>8</v>
      </c>
      <c r="C48" s="6" t="str">
        <f t="shared" si="1"/>
        <v>Andrew Pintar2</v>
      </c>
      <c r="D48" s="6">
        <v>6</v>
      </c>
      <c r="E48" t="str">
        <f>+'Stage Entry'!AG10</f>
        <v>Andrew Pintar</v>
      </c>
      <c r="F48" s="99">
        <f>+'Stage Entry'!AH10</f>
        <v>1.0567129629629629E-2</v>
      </c>
      <c r="G48" s="7">
        <f t="shared" si="3"/>
        <v>4.2699999999999996</v>
      </c>
    </row>
    <row r="49" spans="1:7" x14ac:dyDescent="0.2">
      <c r="A49" s="6">
        <f>COUNTIF(E$2:E49,E49)</f>
        <v>2</v>
      </c>
      <c r="B49" s="6">
        <v>9</v>
      </c>
      <c r="C49" s="6" t="str">
        <f t="shared" si="1"/>
        <v>Chris Wade2</v>
      </c>
      <c r="D49" s="6">
        <v>6</v>
      </c>
      <c r="E49" t="str">
        <f>+'Stage Entry'!AG11</f>
        <v>Chris Wade</v>
      </c>
      <c r="F49" s="99">
        <f>+'Stage Entry'!AH11</f>
        <v>1.1284722222222222E-2</v>
      </c>
      <c r="G49" s="7">
        <f t="shared" si="3"/>
        <v>4.2699999999999996</v>
      </c>
    </row>
    <row r="50" spans="1:7" x14ac:dyDescent="0.2">
      <c r="A50" s="6">
        <f>COUNTIF(E$2:E50,E50)</f>
        <v>2</v>
      </c>
      <c r="B50" s="6">
        <v>1</v>
      </c>
      <c r="C50" s="6" t="str">
        <f t="shared" si="1"/>
        <v>Anna Locarnini2</v>
      </c>
      <c r="D50" s="6">
        <v>7</v>
      </c>
      <c r="E50" t="str">
        <f>+'Stage Entry'!AL4</f>
        <v>Anna Locarnini</v>
      </c>
      <c r="F50" s="99">
        <f>+'Stage Entry'!AM4</f>
        <v>8.7847222222222233E-3</v>
      </c>
      <c r="G50" s="7">
        <f t="shared" ref="G50:G57" si="4">Dist6</f>
        <v>3.2</v>
      </c>
    </row>
    <row r="51" spans="1:7" x14ac:dyDescent="0.2">
      <c r="A51" s="6">
        <f>COUNTIF(E$2:E51,E51)</f>
        <v>2</v>
      </c>
      <c r="B51" s="6">
        <v>2</v>
      </c>
      <c r="C51" s="6" t="str">
        <f t="shared" si="1"/>
        <v>Hugh Hunter2</v>
      </c>
      <c r="D51" s="6">
        <v>7</v>
      </c>
      <c r="E51" t="str">
        <f>+'Stage Entry'!AL5</f>
        <v>Hugh Hunter</v>
      </c>
      <c r="F51" s="99">
        <f>+'Stage Entry'!AM5</f>
        <v>9.5601851851851855E-3</v>
      </c>
      <c r="G51" s="7">
        <f t="shared" si="4"/>
        <v>3.2</v>
      </c>
    </row>
    <row r="52" spans="1:7" x14ac:dyDescent="0.2">
      <c r="A52" s="6">
        <f>COUNTIF(E$2:E52,E52)</f>
        <v>2</v>
      </c>
      <c r="B52" s="6">
        <v>3</v>
      </c>
      <c r="C52" s="6" t="str">
        <f t="shared" ref="C52:C86" si="5">E52&amp;A52</f>
        <v>Mel Jansen2</v>
      </c>
      <c r="D52" s="6">
        <v>7</v>
      </c>
      <c r="E52" t="str">
        <f>+'Stage Entry'!AL6</f>
        <v>Mel Jansen</v>
      </c>
      <c r="F52" s="99">
        <f>+'Stage Entry'!AM6</f>
        <v>8.0555555555555554E-3</v>
      </c>
      <c r="G52" s="7">
        <f t="shared" si="4"/>
        <v>3.2</v>
      </c>
    </row>
    <row r="53" spans="1:7" x14ac:dyDescent="0.2">
      <c r="A53" s="6">
        <f>COUNTIF(E$2:E53,E53)</f>
        <v>2</v>
      </c>
      <c r="B53" s="6">
        <v>4</v>
      </c>
      <c r="C53" s="6" t="str">
        <f t="shared" si="5"/>
        <v>Nick Tobin2</v>
      </c>
      <c r="D53" s="6">
        <v>7</v>
      </c>
      <c r="E53" t="str">
        <f>+'Stage Entry'!AL7</f>
        <v>Nick Tobin</v>
      </c>
      <c r="F53" s="99">
        <f>+'Stage Entry'!AM7</f>
        <v>7.9976851851851858E-3</v>
      </c>
      <c r="G53" s="7">
        <f t="shared" si="4"/>
        <v>3.2</v>
      </c>
    </row>
    <row r="54" spans="1:7" x14ac:dyDescent="0.2">
      <c r="A54" s="6">
        <f>COUNTIF(E$2:E54,E54)</f>
        <v>2</v>
      </c>
      <c r="B54" s="6">
        <v>6</v>
      </c>
      <c r="C54" s="6" t="str">
        <f t="shared" si="5"/>
        <v>Luke Pengelly2</v>
      </c>
      <c r="D54" s="6">
        <v>7</v>
      </c>
      <c r="E54" t="str">
        <f>+'Stage Entry'!AL8</f>
        <v>Luke Pengelly</v>
      </c>
      <c r="F54" s="99">
        <f>+'Stage Entry'!AM8</f>
        <v>8.4027777777777781E-3</v>
      </c>
      <c r="G54" s="7">
        <f t="shared" si="4"/>
        <v>3.2</v>
      </c>
    </row>
    <row r="55" spans="1:7" x14ac:dyDescent="0.2">
      <c r="A55" s="6">
        <f>COUNTIF(E$2:E55,E55)</f>
        <v>2</v>
      </c>
      <c r="B55" s="6">
        <v>7</v>
      </c>
      <c r="C55" s="6" t="str">
        <f t="shared" si="5"/>
        <v>Martin Fry2</v>
      </c>
      <c r="D55" s="6">
        <v>7</v>
      </c>
      <c r="E55" t="str">
        <f>+'Stage Entry'!AL9</f>
        <v>Martin Fry</v>
      </c>
      <c r="F55" s="99">
        <f>+'Stage Entry'!AM9</f>
        <v>8.217592592592594E-3</v>
      </c>
      <c r="G55" s="7">
        <f t="shared" si="4"/>
        <v>3.2</v>
      </c>
    </row>
    <row r="56" spans="1:7" x14ac:dyDescent="0.2">
      <c r="A56" s="6">
        <f>COUNTIF(E$2:E56,E56)</f>
        <v>2</v>
      </c>
      <c r="B56" s="6">
        <v>8</v>
      </c>
      <c r="C56" s="6" t="str">
        <f t="shared" si="5"/>
        <v>Bao Hoang2</v>
      </c>
      <c r="D56" s="6">
        <v>7</v>
      </c>
      <c r="E56" t="str">
        <f>+'Stage Entry'!AL10</f>
        <v>Bao Hoang</v>
      </c>
      <c r="F56" s="99">
        <f>+'Stage Entry'!AM10</f>
        <v>8.2986111111111108E-3</v>
      </c>
      <c r="G56" s="7">
        <f t="shared" si="4"/>
        <v>3.2</v>
      </c>
    </row>
    <row r="57" spans="1:7" x14ac:dyDescent="0.2">
      <c r="A57" s="6">
        <f>COUNTIF(E$2:E57,E57)</f>
        <v>2</v>
      </c>
      <c r="B57" s="6">
        <v>9</v>
      </c>
      <c r="C57" s="6" t="str">
        <f t="shared" si="5"/>
        <v>Dale Nardella2</v>
      </c>
      <c r="D57" s="6">
        <v>7</v>
      </c>
      <c r="E57" t="str">
        <f>+'Stage Entry'!AL11</f>
        <v>Dale Nardella</v>
      </c>
      <c r="F57" s="99">
        <f>+'Stage Entry'!AM11</f>
        <v>7.7314814814814815E-3</v>
      </c>
      <c r="G57" s="7">
        <f t="shared" si="4"/>
        <v>3.2</v>
      </c>
    </row>
    <row r="58" spans="1:7" x14ac:dyDescent="0.2">
      <c r="A58" s="6">
        <f>COUNTIF(E$2:E58,E58)</f>
        <v>2</v>
      </c>
      <c r="B58" s="6">
        <v>1</v>
      </c>
      <c r="C58" s="6" t="str">
        <f t="shared" si="5"/>
        <v>Dion Finocchiaro2</v>
      </c>
      <c r="D58" s="6">
        <v>8</v>
      </c>
      <c r="E58" t="str">
        <f>+'Stage Entry'!AQ4</f>
        <v>Dion Finocchiaro</v>
      </c>
      <c r="F58" s="99">
        <f>+'Stage Entry'!AR4</f>
        <v>1.3414351851851851E-2</v>
      </c>
      <c r="G58" s="7">
        <f t="shared" ref="G58:G65" si="6">Dist7</f>
        <v>5.13</v>
      </c>
    </row>
    <row r="59" spans="1:7" x14ac:dyDescent="0.2">
      <c r="A59" s="6">
        <f>COUNTIF(E$2:E59,E59)</f>
        <v>2</v>
      </c>
      <c r="B59" s="6">
        <v>2</v>
      </c>
      <c r="C59" s="6" t="str">
        <f t="shared" si="5"/>
        <v>Tait Ovens2</v>
      </c>
      <c r="D59" s="6">
        <v>8</v>
      </c>
      <c r="E59" t="str">
        <f>+'Stage Entry'!AQ5</f>
        <v>Tait Ovens</v>
      </c>
      <c r="F59" s="99">
        <f>+'Stage Entry'!AR5</f>
        <v>1.3171296296296294E-2</v>
      </c>
      <c r="G59" s="7">
        <f t="shared" si="6"/>
        <v>5.13</v>
      </c>
    </row>
    <row r="60" spans="1:7" x14ac:dyDescent="0.2">
      <c r="A60" s="6">
        <f>COUNTIF(E$2:E60,E60)</f>
        <v>2</v>
      </c>
      <c r="B60" s="6">
        <v>3</v>
      </c>
      <c r="C60" s="6" t="str">
        <f t="shared" si="5"/>
        <v>Darren Bowden2</v>
      </c>
      <c r="D60" s="6">
        <v>8</v>
      </c>
      <c r="E60" t="str">
        <f>+'Stage Entry'!AQ6</f>
        <v>Darren Bowden</v>
      </c>
      <c r="F60" s="99">
        <f>+'Stage Entry'!AR6</f>
        <v>1.3715277777777778E-2</v>
      </c>
      <c r="G60" s="7">
        <f t="shared" si="6"/>
        <v>5.13</v>
      </c>
    </row>
    <row r="61" spans="1:7" x14ac:dyDescent="0.2">
      <c r="A61" s="6">
        <f>COUNTIF(E$2:E61,E61)</f>
        <v>2</v>
      </c>
      <c r="B61" s="6">
        <v>4</v>
      </c>
      <c r="C61" s="6" t="str">
        <f t="shared" si="5"/>
        <v>Simon Tu2</v>
      </c>
      <c r="D61" s="6">
        <v>8</v>
      </c>
      <c r="E61" t="str">
        <f>+'Stage Entry'!AQ7</f>
        <v>Simon Tu</v>
      </c>
      <c r="F61" s="99">
        <f>+'Stage Entry'!AR7</f>
        <v>1.5023148148148148E-2</v>
      </c>
      <c r="G61" s="7">
        <f t="shared" si="6"/>
        <v>5.13</v>
      </c>
    </row>
    <row r="62" spans="1:7" x14ac:dyDescent="0.2">
      <c r="A62" s="6">
        <f>COUNTIF(E$2:E62,E62)</f>
        <v>2</v>
      </c>
      <c r="B62" s="6">
        <v>6</v>
      </c>
      <c r="C62" s="6" t="str">
        <f t="shared" si="5"/>
        <v>David Hartley2</v>
      </c>
      <c r="D62" s="6">
        <v>8</v>
      </c>
      <c r="E62" t="str">
        <f>+'Stage Entry'!AQ8</f>
        <v>David Hartley</v>
      </c>
      <c r="F62" s="99">
        <f>+'Stage Entry'!AR8</f>
        <v>1.3425925925925924E-2</v>
      </c>
      <c r="G62" s="7">
        <f t="shared" si="6"/>
        <v>5.13</v>
      </c>
    </row>
    <row r="63" spans="1:7" x14ac:dyDescent="0.2">
      <c r="A63" s="6">
        <f>COUNTIF(E$2:E63,E63)</f>
        <v>2</v>
      </c>
      <c r="B63" s="6">
        <v>7</v>
      </c>
      <c r="C63" s="6" t="str">
        <f t="shared" si="5"/>
        <v>David Alcock2</v>
      </c>
      <c r="D63" s="6">
        <v>8</v>
      </c>
      <c r="E63" t="str">
        <f>+'Stage Entry'!AQ9</f>
        <v>David Alcock</v>
      </c>
      <c r="F63" s="99">
        <f>+'Stage Entry'!AR9</f>
        <v>1.3622685185185184E-2</v>
      </c>
      <c r="G63" s="7">
        <f t="shared" si="6"/>
        <v>5.13</v>
      </c>
    </row>
    <row r="64" spans="1:7" x14ac:dyDescent="0.2">
      <c r="A64" s="6">
        <f>COUNTIF(E$2:E64,E64)</f>
        <v>2</v>
      </c>
      <c r="B64" s="6">
        <v>8</v>
      </c>
      <c r="C64" s="6" t="str">
        <f t="shared" si="5"/>
        <v>Daniel Hall2</v>
      </c>
      <c r="D64" s="6">
        <v>8</v>
      </c>
      <c r="E64" t="str">
        <f>+'Stage Entry'!AQ10</f>
        <v>Daniel Hall</v>
      </c>
      <c r="F64" s="99">
        <f>+'Stage Entry'!AR10</f>
        <v>1.4074074074074074E-2</v>
      </c>
      <c r="G64" s="7">
        <f t="shared" si="6"/>
        <v>5.13</v>
      </c>
    </row>
    <row r="65" spans="1:7" x14ac:dyDescent="0.2">
      <c r="A65" s="6">
        <f>COUNTIF(E$2:E65,E65)</f>
        <v>2</v>
      </c>
      <c r="B65" s="6">
        <v>9</v>
      </c>
      <c r="C65" s="6" t="str">
        <f t="shared" si="5"/>
        <v>Tony Langelaan2</v>
      </c>
      <c r="D65" s="6">
        <v>8</v>
      </c>
      <c r="E65" t="str">
        <f>+'Stage Entry'!AQ11</f>
        <v>Tony Langelaan</v>
      </c>
      <c r="F65" s="99">
        <f>+'Stage Entry'!AR11</f>
        <v>1.4652777777777778E-2</v>
      </c>
      <c r="G65" s="7">
        <f t="shared" si="6"/>
        <v>5.13</v>
      </c>
    </row>
    <row r="66" spans="1:7" x14ac:dyDescent="0.2">
      <c r="A66" s="6">
        <f>COUNTIF(E$2:E66,E66)</f>
        <v>3</v>
      </c>
      <c r="B66" s="6">
        <v>1</v>
      </c>
      <c r="C66" s="6" t="str">
        <f t="shared" si="5"/>
        <v>Anna Locarnini3</v>
      </c>
      <c r="D66" s="6">
        <v>9</v>
      </c>
      <c r="E66" t="str">
        <f>+'Stage Entry'!H15</f>
        <v>Anna Locarnini</v>
      </c>
      <c r="F66" s="99">
        <f>+'Stage Entry'!I15</f>
        <v>1.2951388888888887E-2</v>
      </c>
      <c r="G66" s="7">
        <f t="shared" ref="G66:G73" si="7">Dist8</f>
        <v>3.66</v>
      </c>
    </row>
    <row r="67" spans="1:7" x14ac:dyDescent="0.2">
      <c r="A67" s="6">
        <f>COUNTIF(E$2:E67,E67)</f>
        <v>3</v>
      </c>
      <c r="B67" s="6">
        <v>2</v>
      </c>
      <c r="C67" s="6" t="str">
        <f t="shared" si="5"/>
        <v>Shane Fielding3</v>
      </c>
      <c r="D67" s="6">
        <v>9</v>
      </c>
      <c r="E67" t="str">
        <f>+'Stage Entry'!H16</f>
        <v>Shane Fielding</v>
      </c>
      <c r="F67" s="99">
        <f>+'Stage Entry'!I16</f>
        <v>1.1319444444444444E-2</v>
      </c>
      <c r="G67" s="7">
        <f t="shared" si="7"/>
        <v>3.66</v>
      </c>
    </row>
    <row r="68" spans="1:7" x14ac:dyDescent="0.2">
      <c r="A68" s="6">
        <f>COUNTIF(E$2:E68,E68)</f>
        <v>3</v>
      </c>
      <c r="B68" s="6">
        <v>3</v>
      </c>
      <c r="C68" s="6" t="str">
        <f t="shared" si="5"/>
        <v>Julie-Ann Undrill3</v>
      </c>
      <c r="D68" s="6">
        <v>9</v>
      </c>
      <c r="E68" t="str">
        <f>+'Stage Entry'!H17</f>
        <v>Julie-Ann Undrill</v>
      </c>
      <c r="F68" s="99">
        <f>+'Stage Entry'!I17</f>
        <v>1.1863425925925925E-2</v>
      </c>
      <c r="G68" s="7">
        <f t="shared" si="7"/>
        <v>3.66</v>
      </c>
    </row>
    <row r="69" spans="1:7" x14ac:dyDescent="0.2">
      <c r="A69" s="6">
        <f>COUNTIF(E$2:E69,E69)</f>
        <v>3</v>
      </c>
      <c r="B69" s="6">
        <v>4</v>
      </c>
      <c r="C69" s="6" t="str">
        <f t="shared" si="5"/>
        <v>Thai Phan3</v>
      </c>
      <c r="D69" s="6">
        <v>9</v>
      </c>
      <c r="E69" t="str">
        <f>+'Stage Entry'!H18</f>
        <v>Thai Phan</v>
      </c>
      <c r="F69" s="99">
        <f>+'Stage Entry'!I18</f>
        <v>1.0833333333333334E-2</v>
      </c>
      <c r="G69" s="7">
        <f t="shared" si="7"/>
        <v>3.66</v>
      </c>
    </row>
    <row r="70" spans="1:7" x14ac:dyDescent="0.2">
      <c r="A70" s="6">
        <f>COUNTIF(E$2:E70,E70)</f>
        <v>3</v>
      </c>
      <c r="B70" s="6">
        <v>6</v>
      </c>
      <c r="C70" s="6" t="str">
        <f t="shared" si="5"/>
        <v>Anthony Mithen3</v>
      </c>
      <c r="D70" s="6">
        <v>9</v>
      </c>
      <c r="E70" t="str">
        <f>+'Stage Entry'!H19</f>
        <v>Anthony Mithen</v>
      </c>
      <c r="F70" s="99">
        <f>+'Stage Entry'!I19</f>
        <v>1.1099537037037038E-2</v>
      </c>
      <c r="G70" s="7">
        <f t="shared" si="7"/>
        <v>3.66</v>
      </c>
    </row>
    <row r="71" spans="1:7" x14ac:dyDescent="0.2">
      <c r="A71" s="6">
        <f>COUNTIF(E$2:E71,E71)</f>
        <v>3</v>
      </c>
      <c r="B71" s="6">
        <v>7</v>
      </c>
      <c r="C71" s="6" t="str">
        <f t="shared" si="5"/>
        <v>Martin Fry3</v>
      </c>
      <c r="D71" s="6">
        <v>9</v>
      </c>
      <c r="E71" t="str">
        <f>+'Stage Entry'!H20</f>
        <v>Martin Fry</v>
      </c>
      <c r="F71" s="99">
        <f>+'Stage Entry'!I20</f>
        <v>1.255787037037037E-2</v>
      </c>
      <c r="G71" s="7">
        <f t="shared" si="7"/>
        <v>3.66</v>
      </c>
    </row>
    <row r="72" spans="1:7" x14ac:dyDescent="0.2">
      <c r="A72" s="6">
        <f>COUNTIF(E$2:E72,E72)</f>
        <v>3</v>
      </c>
      <c r="B72" s="6">
        <v>8</v>
      </c>
      <c r="C72" s="6" t="str">
        <f t="shared" si="5"/>
        <v>Bao Hoang3</v>
      </c>
      <c r="D72" s="6">
        <v>9</v>
      </c>
      <c r="E72" t="str">
        <f>+'Stage Entry'!H21</f>
        <v>Bao Hoang</v>
      </c>
      <c r="F72" s="99">
        <f>+'Stage Entry'!I21</f>
        <v>1.2916666666666667E-2</v>
      </c>
      <c r="G72" s="7">
        <f t="shared" si="7"/>
        <v>3.66</v>
      </c>
    </row>
    <row r="73" spans="1:7" x14ac:dyDescent="0.2">
      <c r="A73" s="6">
        <f>COUNTIF(E$2:E73,E73)</f>
        <v>3</v>
      </c>
      <c r="B73" s="6">
        <v>9</v>
      </c>
      <c r="C73" s="6" t="str">
        <f t="shared" si="5"/>
        <v>Chris Wade3</v>
      </c>
      <c r="D73" s="6">
        <v>9</v>
      </c>
      <c r="E73" t="str">
        <f>+'Stage Entry'!H22</f>
        <v>Chris Wade</v>
      </c>
      <c r="F73" s="99">
        <f>+'Stage Entry'!I22</f>
        <v>1.1516203703703702E-2</v>
      </c>
      <c r="G73" s="7">
        <f t="shared" si="7"/>
        <v>3.66</v>
      </c>
    </row>
    <row r="74" spans="1:7" x14ac:dyDescent="0.2">
      <c r="A74" s="6">
        <f>COUNTIF(E$2:E74,E74)</f>
        <v>3</v>
      </c>
      <c r="B74" s="6">
        <v>1</v>
      </c>
      <c r="C74" s="6" t="str">
        <f t="shared" si="5"/>
        <v>Matt Adams3</v>
      </c>
      <c r="D74" s="6">
        <v>10</v>
      </c>
      <c r="E74" t="str">
        <f>+'Stage Entry'!M15</f>
        <v>Matt Adams</v>
      </c>
      <c r="F74" s="99">
        <f>+'Stage Entry'!N15</f>
        <v>1.1041666666666667E-2</v>
      </c>
      <c r="G74" s="7">
        <f>'Stage Entry'!$N$13</f>
        <v>3.7</v>
      </c>
    </row>
    <row r="75" spans="1:7" x14ac:dyDescent="0.2">
      <c r="A75" s="6">
        <f>COUNTIF(E$2:E75,E75)</f>
        <v>3</v>
      </c>
      <c r="B75" s="6">
        <v>2</v>
      </c>
      <c r="C75" s="6" t="str">
        <f t="shared" si="5"/>
        <v>Hugh Hunter3</v>
      </c>
      <c r="D75" s="6">
        <v>10</v>
      </c>
      <c r="E75" t="str">
        <f>+'Stage Entry'!M16</f>
        <v>Hugh Hunter</v>
      </c>
      <c r="F75" s="99">
        <f>+'Stage Entry'!N16</f>
        <v>1.4374999999999999E-2</v>
      </c>
      <c r="G75" s="7">
        <f>'Stage Entry'!$N$13</f>
        <v>3.7</v>
      </c>
    </row>
    <row r="76" spans="1:7" x14ac:dyDescent="0.2">
      <c r="A76" s="6">
        <f>COUNTIF(E$2:E76,E76)</f>
        <v>3</v>
      </c>
      <c r="B76" s="6">
        <v>3</v>
      </c>
      <c r="C76" s="6" t="str">
        <f t="shared" si="5"/>
        <v>Glenn Carroll3</v>
      </c>
      <c r="D76" s="6">
        <v>10</v>
      </c>
      <c r="E76" t="str">
        <f>+'Stage Entry'!M17</f>
        <v>Glenn Carroll</v>
      </c>
      <c r="F76" s="99">
        <f>+'Stage Entry'!N17</f>
        <v>1.0717592592592593E-2</v>
      </c>
      <c r="G76" s="7">
        <f>'Stage Entry'!$N$13</f>
        <v>3.7</v>
      </c>
    </row>
    <row r="77" spans="1:7" x14ac:dyDescent="0.2">
      <c r="A77" s="6">
        <f>COUNTIF(E$2:E77,E77)</f>
        <v>3</v>
      </c>
      <c r="B77" s="6">
        <v>4</v>
      </c>
      <c r="C77" s="6" t="str">
        <f t="shared" si="5"/>
        <v>Nick Tobin3</v>
      </c>
      <c r="D77" s="6">
        <v>10</v>
      </c>
      <c r="E77" t="str">
        <f>+'Stage Entry'!M18</f>
        <v>Nick Tobin</v>
      </c>
      <c r="F77" s="99">
        <f>+'Stage Entry'!N18</f>
        <v>1.2708333333333334E-2</v>
      </c>
      <c r="G77" s="7">
        <f>'Stage Entry'!$N$13</f>
        <v>3.7</v>
      </c>
    </row>
    <row r="78" spans="1:7" x14ac:dyDescent="0.2">
      <c r="A78" s="6">
        <f>COUNTIF(E$2:E78,E78)</f>
        <v>3</v>
      </c>
      <c r="B78" s="6">
        <v>6</v>
      </c>
      <c r="C78" s="6" t="str">
        <f t="shared" si="5"/>
        <v>Luke Pengelly3</v>
      </c>
      <c r="D78" s="6">
        <v>10</v>
      </c>
      <c r="E78" t="str">
        <f>+'Stage Entry'!M19</f>
        <v>Luke Pengelly</v>
      </c>
      <c r="F78" s="99">
        <f>+'Stage Entry'!N19</f>
        <v>1.2141203703703704E-2</v>
      </c>
      <c r="G78" s="7">
        <f>'Stage Entry'!$N$13</f>
        <v>3.7</v>
      </c>
    </row>
    <row r="79" spans="1:7" x14ac:dyDescent="0.2">
      <c r="A79" s="6">
        <f>COUNTIF(E$2:E79,E79)</f>
        <v>3</v>
      </c>
      <c r="B79" s="6">
        <v>7</v>
      </c>
      <c r="C79" s="6" t="str">
        <f t="shared" si="5"/>
        <v>James Howe3</v>
      </c>
      <c r="D79" s="6">
        <v>10</v>
      </c>
      <c r="E79" t="str">
        <f>+'Stage Entry'!M20</f>
        <v>James Howe</v>
      </c>
      <c r="F79" s="99">
        <f>+'Stage Entry'!N20</f>
        <v>1.113425925925926E-2</v>
      </c>
      <c r="G79" s="7">
        <f>'Stage Entry'!$N$13</f>
        <v>3.7</v>
      </c>
    </row>
    <row r="80" spans="1:7" x14ac:dyDescent="0.2">
      <c r="A80" s="6">
        <f>COUNTIF(E$2:E80,E80)</f>
        <v>3</v>
      </c>
      <c r="B80" s="6">
        <v>8</v>
      </c>
      <c r="C80" s="6" t="str">
        <f t="shared" si="5"/>
        <v>Scott Smith3</v>
      </c>
      <c r="D80" s="6">
        <v>10</v>
      </c>
      <c r="E80" t="str">
        <f>+'Stage Entry'!M21</f>
        <v>Scott Smith</v>
      </c>
      <c r="F80" s="99">
        <f>+'Stage Entry'!N21</f>
        <v>1.0729166666666666E-2</v>
      </c>
      <c r="G80" s="7">
        <f>'Stage Entry'!$N$13</f>
        <v>3.7</v>
      </c>
    </row>
    <row r="81" spans="1:7" x14ac:dyDescent="0.2">
      <c r="A81" s="6">
        <f>COUNTIF(E$2:E81,E81)</f>
        <v>3</v>
      </c>
      <c r="B81" s="6">
        <v>9</v>
      </c>
      <c r="C81" s="6" t="str">
        <f t="shared" si="5"/>
        <v>Dale Nardella3</v>
      </c>
      <c r="D81" s="6">
        <v>10</v>
      </c>
      <c r="E81" t="str">
        <f>+'Stage Entry'!M22</f>
        <v>Dale Nardella</v>
      </c>
      <c r="F81" s="99">
        <f>+'Stage Entry'!N22</f>
        <v>1.1481481481481483E-2</v>
      </c>
      <c r="G81" s="7">
        <f>'Stage Entry'!$N$13</f>
        <v>3.7</v>
      </c>
    </row>
    <row r="82" spans="1:7" x14ac:dyDescent="0.2">
      <c r="A82" s="6">
        <f>COUNTIF(E$2:E82,E82)</f>
        <v>3</v>
      </c>
      <c r="B82" s="6">
        <v>1</v>
      </c>
      <c r="C82" s="6" t="str">
        <f t="shared" si="5"/>
        <v>Dion Finocchiaro3</v>
      </c>
      <c r="D82" s="6">
        <v>11</v>
      </c>
      <c r="E82" t="str">
        <f>+'Stage Entry'!R15</f>
        <v>Dion Finocchiaro</v>
      </c>
      <c r="F82" s="99">
        <f>+'Stage Entry'!S15</f>
        <v>1.2569444444444446E-2</v>
      </c>
      <c r="G82" s="7">
        <f t="shared" ref="G82:G89" si="8">Dist9</f>
        <v>5.3</v>
      </c>
    </row>
    <row r="83" spans="1:7" x14ac:dyDescent="0.2">
      <c r="A83" s="6">
        <f>COUNTIF(E$2:E83,E83)</f>
        <v>3</v>
      </c>
      <c r="B83" s="6">
        <v>2</v>
      </c>
      <c r="C83" s="6" t="str">
        <f t="shared" si="5"/>
        <v>Tait Ovens3</v>
      </c>
      <c r="D83" s="6">
        <v>11</v>
      </c>
      <c r="E83" t="str">
        <f>+'Stage Entry'!R16</f>
        <v>Tait Ovens</v>
      </c>
      <c r="F83" s="99">
        <f>+'Stage Entry'!S16</f>
        <v>1.3506944444444445E-2</v>
      </c>
      <c r="G83" s="7">
        <f t="shared" si="8"/>
        <v>5.3</v>
      </c>
    </row>
    <row r="84" spans="1:7" x14ac:dyDescent="0.2">
      <c r="A84" s="6">
        <f>COUNTIF(E$2:E84,E84)</f>
        <v>3</v>
      </c>
      <c r="B84" s="6">
        <v>3</v>
      </c>
      <c r="C84" s="6" t="str">
        <f t="shared" si="5"/>
        <v>Darren Bowden3</v>
      </c>
      <c r="D84" s="6">
        <v>11</v>
      </c>
      <c r="E84" t="str">
        <f>+'Stage Entry'!R17</f>
        <v>Darren Bowden</v>
      </c>
      <c r="F84" s="99">
        <f>+'Stage Entry'!S17</f>
        <v>1.4837962962962963E-2</v>
      </c>
      <c r="G84" s="7">
        <f t="shared" si="8"/>
        <v>5.3</v>
      </c>
    </row>
    <row r="85" spans="1:7" x14ac:dyDescent="0.2">
      <c r="A85" s="6">
        <f>COUNTIF(E$2:E85,E85)</f>
        <v>3</v>
      </c>
      <c r="B85" s="6">
        <v>4</v>
      </c>
      <c r="C85" s="6" t="str">
        <f t="shared" si="5"/>
        <v>Simon Tu3</v>
      </c>
      <c r="D85" s="6">
        <v>11</v>
      </c>
      <c r="E85" t="str">
        <f>+'Stage Entry'!R18</f>
        <v>Simon Tu</v>
      </c>
      <c r="F85" s="99">
        <f>+'Stage Entry'!S18</f>
        <v>1.40625E-2</v>
      </c>
      <c r="G85" s="7">
        <f t="shared" si="8"/>
        <v>5.3</v>
      </c>
    </row>
    <row r="86" spans="1:7" x14ac:dyDescent="0.2">
      <c r="A86" s="6">
        <f>COUNTIF(E$2:E86,E86)</f>
        <v>3</v>
      </c>
      <c r="B86" s="6">
        <v>6</v>
      </c>
      <c r="C86" s="6" t="str">
        <f t="shared" si="5"/>
        <v>David Hartley3</v>
      </c>
      <c r="D86" s="6">
        <v>11</v>
      </c>
      <c r="E86" t="str">
        <f>+'Stage Entry'!R19</f>
        <v>David Hartley</v>
      </c>
      <c r="F86" s="99">
        <f>+'Stage Entry'!S19</f>
        <v>1.4120370370370368E-2</v>
      </c>
      <c r="G86" s="7">
        <f t="shared" si="8"/>
        <v>5.3</v>
      </c>
    </row>
    <row r="87" spans="1:7" x14ac:dyDescent="0.2">
      <c r="A87" s="6">
        <f>COUNTIF(E$2:E87,E87)</f>
        <v>3</v>
      </c>
      <c r="B87" s="6">
        <v>7</v>
      </c>
      <c r="C87" s="6" t="str">
        <f t="shared" ref="C87:C129" si="9">E87&amp;A87</f>
        <v>David Alcock3</v>
      </c>
      <c r="D87" s="6">
        <v>11</v>
      </c>
      <c r="E87" t="str">
        <f>+'Stage Entry'!R20</f>
        <v>David Alcock</v>
      </c>
      <c r="F87" s="99">
        <f>+'Stage Entry'!S20</f>
        <v>1.4120370370370368E-2</v>
      </c>
      <c r="G87" s="7">
        <f t="shared" si="8"/>
        <v>5.3</v>
      </c>
    </row>
    <row r="88" spans="1:7" x14ac:dyDescent="0.2">
      <c r="A88" s="6">
        <f>COUNTIF(E$2:E88,E88)</f>
        <v>3</v>
      </c>
      <c r="B88" s="6">
        <v>8</v>
      </c>
      <c r="C88" s="6" t="str">
        <f t="shared" si="9"/>
        <v>Daniel Hall3</v>
      </c>
      <c r="D88" s="6">
        <v>11</v>
      </c>
      <c r="E88" t="str">
        <f>+'Stage Entry'!R21</f>
        <v>Daniel Hall</v>
      </c>
      <c r="F88" s="99">
        <f>+'Stage Entry'!S21</f>
        <v>1.3993055555555555E-2</v>
      </c>
      <c r="G88" s="7">
        <f t="shared" si="8"/>
        <v>5.3</v>
      </c>
    </row>
    <row r="89" spans="1:7" x14ac:dyDescent="0.2">
      <c r="A89" s="6">
        <f>COUNTIF(E$2:E89,E89)</f>
        <v>3</v>
      </c>
      <c r="B89" s="6">
        <v>9</v>
      </c>
      <c r="C89" s="6" t="str">
        <f t="shared" si="9"/>
        <v>Tony Langelaan3</v>
      </c>
      <c r="D89" s="6">
        <v>11</v>
      </c>
      <c r="E89" t="str">
        <f>+'Stage Entry'!R22</f>
        <v>Tony Langelaan</v>
      </c>
      <c r="F89" s="99">
        <f>+'Stage Entry'!S22</f>
        <v>1.4768518518518519E-2</v>
      </c>
      <c r="G89" s="7">
        <f t="shared" si="8"/>
        <v>5.3</v>
      </c>
    </row>
    <row r="90" spans="1:7" x14ac:dyDescent="0.2">
      <c r="A90" s="6">
        <f>COUNTIF(E$2:E90,E90)</f>
        <v>3</v>
      </c>
      <c r="B90" s="6">
        <v>1</v>
      </c>
      <c r="C90" s="6" t="str">
        <f t="shared" si="9"/>
        <v>Beata Janetzki3</v>
      </c>
      <c r="D90" s="6">
        <v>12</v>
      </c>
      <c r="E90" t="str">
        <f>+'Stage Entry'!W15</f>
        <v>Beata Janetzki</v>
      </c>
      <c r="F90" s="99">
        <f>+'Stage Entry'!X15</f>
        <v>1.255787037037037E-2</v>
      </c>
      <c r="G90" s="7">
        <f t="shared" ref="G90:G97" si="10">Dist10</f>
        <v>4.5</v>
      </c>
    </row>
    <row r="91" spans="1:7" x14ac:dyDescent="0.2">
      <c r="A91" s="6">
        <f>COUNTIF(E$2:E91,E91)</f>
        <v>3</v>
      </c>
      <c r="B91" s="6">
        <v>2</v>
      </c>
      <c r="C91" s="6" t="str">
        <f t="shared" si="9"/>
        <v>Scott Stacey3</v>
      </c>
      <c r="D91" s="6">
        <v>12</v>
      </c>
      <c r="E91" t="str">
        <f>+'Stage Entry'!W16</f>
        <v>Scott Stacey</v>
      </c>
      <c r="F91" s="99">
        <f>+'Stage Entry'!X16</f>
        <v>1.1157407407407408E-2</v>
      </c>
      <c r="G91" s="7">
        <f t="shared" si="10"/>
        <v>4.5</v>
      </c>
    </row>
    <row r="92" spans="1:7" x14ac:dyDescent="0.2">
      <c r="A92" s="6">
        <f>COUNTIF(E$2:E92,E92)</f>
        <v>3</v>
      </c>
      <c r="B92" s="6">
        <v>3</v>
      </c>
      <c r="C92" s="6" t="str">
        <f t="shared" si="9"/>
        <v>Mel Jansen3</v>
      </c>
      <c r="D92" s="6">
        <v>12</v>
      </c>
      <c r="E92" t="str">
        <f>+'Stage Entry'!W17</f>
        <v>Mel Jansen</v>
      </c>
      <c r="F92" s="99">
        <f>+'Stage Entry'!X17</f>
        <v>1.34375E-2</v>
      </c>
      <c r="G92" s="7">
        <f t="shared" si="10"/>
        <v>4.5</v>
      </c>
    </row>
    <row r="93" spans="1:7" x14ac:dyDescent="0.2">
      <c r="A93" s="6">
        <f>COUNTIF(E$2:E93,E93)</f>
        <v>3</v>
      </c>
      <c r="B93" s="6">
        <v>4</v>
      </c>
      <c r="C93" s="6" t="str">
        <f t="shared" si="9"/>
        <v>Chris Wright3</v>
      </c>
      <c r="D93" s="6">
        <v>12</v>
      </c>
      <c r="E93" t="str">
        <f>+'Stage Entry'!W18</f>
        <v>Chris Wright</v>
      </c>
      <c r="F93" s="99">
        <f>+'Stage Entry'!X18</f>
        <v>1.1678240740740741E-2</v>
      </c>
      <c r="G93" s="7">
        <f t="shared" si="10"/>
        <v>4.5</v>
      </c>
    </row>
    <row r="94" spans="1:7" x14ac:dyDescent="0.2">
      <c r="A94" s="6">
        <f>COUNTIF(E$2:E94,E94)</f>
        <v>3</v>
      </c>
      <c r="B94" s="6">
        <v>6</v>
      </c>
      <c r="C94" s="6" t="str">
        <f t="shared" si="9"/>
        <v>Garth Calder3</v>
      </c>
      <c r="D94" s="6">
        <v>12</v>
      </c>
      <c r="E94" t="str">
        <f>+'Stage Entry'!W19</f>
        <v>Garth Calder</v>
      </c>
      <c r="F94" s="99">
        <f>+'Stage Entry'!X19</f>
        <v>1.1956018518518517E-2</v>
      </c>
      <c r="G94" s="7">
        <f t="shared" si="10"/>
        <v>4.5</v>
      </c>
    </row>
    <row r="95" spans="1:7" x14ac:dyDescent="0.2">
      <c r="A95" s="6">
        <f>COUNTIF(E$2:E95,E95)</f>
        <v>3</v>
      </c>
      <c r="B95" s="6">
        <v>7</v>
      </c>
      <c r="C95" s="6" t="str">
        <f t="shared" si="9"/>
        <v>Brenton Norman3</v>
      </c>
      <c r="D95" s="6">
        <v>12</v>
      </c>
      <c r="E95" t="str">
        <f>+'Stage Entry'!W20</f>
        <v>Brenton Norman</v>
      </c>
      <c r="F95" s="99">
        <f>+'Stage Entry'!X20</f>
        <v>1.2800925925925926E-2</v>
      </c>
      <c r="G95" s="7">
        <f t="shared" si="10"/>
        <v>4.5</v>
      </c>
    </row>
    <row r="96" spans="1:7" x14ac:dyDescent="0.2">
      <c r="A96" s="6">
        <f>COUNTIF(E$2:E96,E96)</f>
        <v>3</v>
      </c>
      <c r="B96" s="6">
        <v>8</v>
      </c>
      <c r="C96" s="6" t="str">
        <f t="shared" si="9"/>
        <v>Andrew Pintar3</v>
      </c>
      <c r="D96" s="6">
        <v>12</v>
      </c>
      <c r="E96" t="str">
        <f>+'Stage Entry'!W21</f>
        <v>Andrew Pintar</v>
      </c>
      <c r="F96" s="99">
        <f>+'Stage Entry'!X21</f>
        <v>1.1944444444444445E-2</v>
      </c>
      <c r="G96" s="7">
        <f t="shared" si="10"/>
        <v>4.5</v>
      </c>
    </row>
    <row r="97" spans="1:7" x14ac:dyDescent="0.2">
      <c r="A97" s="6">
        <f>COUNTIF(E$2:E97,E97)</f>
        <v>3</v>
      </c>
      <c r="B97" s="6">
        <v>9</v>
      </c>
      <c r="C97" s="6" t="str">
        <f t="shared" si="9"/>
        <v>Richard Does3</v>
      </c>
      <c r="D97" s="6">
        <v>12</v>
      </c>
      <c r="E97" t="str">
        <f>+'Stage Entry'!W22</f>
        <v>Richard Does</v>
      </c>
      <c r="F97" s="99">
        <f>+'Stage Entry'!X22</f>
        <v>1.1539351851851851E-2</v>
      </c>
      <c r="G97" s="7">
        <f t="shared" si="10"/>
        <v>4.5</v>
      </c>
    </row>
    <row r="98" spans="1:7" x14ac:dyDescent="0.2">
      <c r="A98" s="6">
        <f>COUNTIF(E$2:E98,E98)</f>
        <v>4</v>
      </c>
      <c r="B98" s="6">
        <v>1</v>
      </c>
      <c r="C98" s="6" t="str">
        <f t="shared" si="9"/>
        <v>Dion Finocchiaro4</v>
      </c>
      <c r="D98" s="6">
        <v>13</v>
      </c>
      <c r="E98" t="str">
        <f>+'Stage Entry'!AB15</f>
        <v>Dion Finocchiaro</v>
      </c>
      <c r="F98" s="99">
        <f>+'Stage Entry'!AC15</f>
        <v>1.0960648148148148E-2</v>
      </c>
      <c r="G98" s="7">
        <f t="shared" ref="G98:G105" si="11">Dist11</f>
        <v>4.5</v>
      </c>
    </row>
    <row r="99" spans="1:7" x14ac:dyDescent="0.2">
      <c r="A99" s="6">
        <f>COUNTIF(E$2:E99,E99)</f>
        <v>4</v>
      </c>
      <c r="B99" s="6">
        <v>2</v>
      </c>
      <c r="C99" s="6" t="str">
        <f t="shared" si="9"/>
        <v>Tait Ovens4</v>
      </c>
      <c r="D99" s="6">
        <v>13</v>
      </c>
      <c r="E99" t="str">
        <f>+'Stage Entry'!AB16</f>
        <v>Tait Ovens</v>
      </c>
      <c r="F99" s="99">
        <f>+'Stage Entry'!AC16</f>
        <v>1.1759259259259259E-2</v>
      </c>
      <c r="G99" s="7">
        <f t="shared" si="11"/>
        <v>4.5</v>
      </c>
    </row>
    <row r="100" spans="1:7" x14ac:dyDescent="0.2">
      <c r="A100" s="6">
        <f>COUNTIF(E$2:E100,E100)</f>
        <v>4</v>
      </c>
      <c r="B100" s="6">
        <v>3</v>
      </c>
      <c r="C100" s="6" t="str">
        <f t="shared" si="9"/>
        <v>Glenn Carroll4</v>
      </c>
      <c r="D100" s="6">
        <v>13</v>
      </c>
      <c r="E100" t="str">
        <f>+'Stage Entry'!AB17</f>
        <v>Glenn Carroll</v>
      </c>
      <c r="F100" s="99">
        <f>+'Stage Entry'!AC17</f>
        <v>1.2731481481481481E-2</v>
      </c>
      <c r="G100" s="7">
        <f t="shared" si="11"/>
        <v>4.5</v>
      </c>
    </row>
    <row r="101" spans="1:7" x14ac:dyDescent="0.2">
      <c r="A101" s="6">
        <f>COUNTIF(E$2:E101,E101)</f>
        <v>4</v>
      </c>
      <c r="B101" s="6">
        <v>4</v>
      </c>
      <c r="C101" s="6" t="str">
        <f t="shared" si="9"/>
        <v>Simon Tu4</v>
      </c>
      <c r="D101" s="6">
        <v>13</v>
      </c>
      <c r="E101" t="str">
        <f>+'Stage Entry'!AB18</f>
        <v>Simon Tu</v>
      </c>
      <c r="F101" s="99">
        <f>+'Stage Entry'!AC18</f>
        <v>1.207175925925926E-2</v>
      </c>
      <c r="G101" s="7">
        <f t="shared" si="11"/>
        <v>4.5</v>
      </c>
    </row>
    <row r="102" spans="1:7" x14ac:dyDescent="0.2">
      <c r="A102" s="6">
        <f>COUNTIF(E$2:E102,E102)</f>
        <v>4</v>
      </c>
      <c r="B102" s="6">
        <v>6</v>
      </c>
      <c r="C102" s="6" t="str">
        <f t="shared" si="9"/>
        <v>David Hartley4</v>
      </c>
      <c r="D102" s="6">
        <v>13</v>
      </c>
      <c r="E102" t="str">
        <f>+'Stage Entry'!AB19</f>
        <v>David Hartley</v>
      </c>
      <c r="F102" s="99">
        <f>+'Stage Entry'!AC19</f>
        <v>1.2395833333333335E-2</v>
      </c>
      <c r="G102" s="7">
        <f t="shared" si="11"/>
        <v>4.5</v>
      </c>
    </row>
    <row r="103" spans="1:7" x14ac:dyDescent="0.2">
      <c r="A103" s="6">
        <f>COUNTIF(E$2:E103,E103)</f>
        <v>4</v>
      </c>
      <c r="B103" s="6">
        <v>7</v>
      </c>
      <c r="C103" s="6" t="str">
        <f t="shared" si="9"/>
        <v>James Howe4</v>
      </c>
      <c r="D103" s="6">
        <v>13</v>
      </c>
      <c r="E103" t="str">
        <f>+'Stage Entry'!AB20</f>
        <v>James Howe</v>
      </c>
      <c r="F103" s="99">
        <f>+'Stage Entry'!AC20</f>
        <v>1.375E-2</v>
      </c>
      <c r="G103" s="7">
        <f t="shared" si="11"/>
        <v>4.5</v>
      </c>
    </row>
    <row r="104" spans="1:7" x14ac:dyDescent="0.2">
      <c r="A104" s="6">
        <f>COUNTIF(E$2:E104,E104)</f>
        <v>4</v>
      </c>
      <c r="B104" s="6">
        <v>8</v>
      </c>
      <c r="C104" s="6" t="str">
        <f t="shared" si="9"/>
        <v>Daniel Hall4</v>
      </c>
      <c r="D104" s="6">
        <v>13</v>
      </c>
      <c r="E104" t="str">
        <f>+'Stage Entry'!AB21</f>
        <v>Daniel Hall</v>
      </c>
      <c r="F104" s="99">
        <f>+'Stage Entry'!AC21</f>
        <v>1.2164351851851852E-2</v>
      </c>
      <c r="G104" s="7">
        <f t="shared" si="11"/>
        <v>4.5</v>
      </c>
    </row>
    <row r="105" spans="1:7" x14ac:dyDescent="0.2">
      <c r="A105" s="6">
        <f>COUNTIF(E$2:E105,E105)</f>
        <v>4</v>
      </c>
      <c r="B105" s="6">
        <v>9</v>
      </c>
      <c r="C105" s="6" t="str">
        <f t="shared" si="9"/>
        <v>Tony Langelaan4</v>
      </c>
      <c r="D105" s="6">
        <v>13</v>
      </c>
      <c r="E105" t="str">
        <f>+'Stage Entry'!AB22</f>
        <v>Tony Langelaan</v>
      </c>
      <c r="F105" s="99">
        <f>+'Stage Entry'!AC22</f>
        <v>1.3113425925925926E-2</v>
      </c>
      <c r="G105" s="7">
        <f t="shared" si="11"/>
        <v>4.5</v>
      </c>
    </row>
    <row r="106" spans="1:7" x14ac:dyDescent="0.2">
      <c r="A106" s="6">
        <f>COUNTIF(E$2:E106,E106)</f>
        <v>4</v>
      </c>
      <c r="B106" s="6">
        <v>1</v>
      </c>
      <c r="C106" s="6" t="str">
        <f t="shared" si="9"/>
        <v>Matt Adams4</v>
      </c>
      <c r="D106" s="6">
        <v>14</v>
      </c>
      <c r="E106" t="str">
        <f>+'Stage Entry'!AG15</f>
        <v>Matt Adams</v>
      </c>
      <c r="F106" s="99">
        <f>+'Stage Entry'!AH15</f>
        <v>1.1273148148148148E-2</v>
      </c>
      <c r="G106" s="7">
        <f t="shared" ref="G106:G113" si="12">Dist12</f>
        <v>4.21</v>
      </c>
    </row>
    <row r="107" spans="1:7" x14ac:dyDescent="0.2">
      <c r="A107" s="6">
        <f>COUNTIF(E$2:E107,E107)</f>
        <v>4</v>
      </c>
      <c r="B107" s="6">
        <v>2</v>
      </c>
      <c r="C107" s="6" t="str">
        <f t="shared" si="9"/>
        <v>Shane Fielding4</v>
      </c>
      <c r="D107" s="6">
        <v>14</v>
      </c>
      <c r="E107" t="str">
        <f>+'Stage Entry'!AG16</f>
        <v>Shane Fielding</v>
      </c>
      <c r="F107" s="99">
        <f>+'Stage Entry'!AH16</f>
        <v>1.1307870370370371E-2</v>
      </c>
      <c r="G107" s="7">
        <f t="shared" si="12"/>
        <v>4.21</v>
      </c>
    </row>
    <row r="108" spans="1:7" x14ac:dyDescent="0.2">
      <c r="A108" s="6">
        <f>COUNTIF(E$2:E108,E108)</f>
        <v>4</v>
      </c>
      <c r="B108" s="6">
        <v>3</v>
      </c>
      <c r="C108" s="6" t="str">
        <f t="shared" si="9"/>
        <v>Julie-Ann Undrill4</v>
      </c>
      <c r="D108" s="6">
        <v>14</v>
      </c>
      <c r="E108" t="str">
        <f>+'Stage Entry'!AG17</f>
        <v>Julie-Ann Undrill</v>
      </c>
      <c r="F108" s="99">
        <f>+'Stage Entry'!AH17</f>
        <v>1.252314814814815E-2</v>
      </c>
      <c r="G108" s="7">
        <f t="shared" si="12"/>
        <v>4.21</v>
      </c>
    </row>
    <row r="109" spans="1:7" x14ac:dyDescent="0.2">
      <c r="A109" s="6">
        <f>COUNTIF(E$2:E109,E109)</f>
        <v>4</v>
      </c>
      <c r="B109" s="6">
        <v>4</v>
      </c>
      <c r="C109" s="6" t="str">
        <f t="shared" si="9"/>
        <v>Thai Phan4</v>
      </c>
      <c r="D109" s="6">
        <v>14</v>
      </c>
      <c r="E109" t="str">
        <f>+'Stage Entry'!AG18</f>
        <v>Thai Phan</v>
      </c>
      <c r="F109" s="99">
        <f>+'Stage Entry'!AH18</f>
        <v>1.1331018518518518E-2</v>
      </c>
      <c r="G109" s="7">
        <f t="shared" si="12"/>
        <v>4.21</v>
      </c>
    </row>
    <row r="110" spans="1:7" x14ac:dyDescent="0.2">
      <c r="A110" s="6">
        <f>COUNTIF(E$2:E110,E110)</f>
        <v>4</v>
      </c>
      <c r="B110" s="6">
        <v>6</v>
      </c>
      <c r="C110" s="6" t="str">
        <f t="shared" si="9"/>
        <v>Anthony Mithen4</v>
      </c>
      <c r="D110" s="6">
        <v>14</v>
      </c>
      <c r="E110" t="str">
        <f>+'Stage Entry'!AG19</f>
        <v>Anthony Mithen</v>
      </c>
      <c r="F110" s="99">
        <f>+'Stage Entry'!AH19</f>
        <v>1.1724537037037035E-2</v>
      </c>
      <c r="G110" s="7">
        <f t="shared" si="12"/>
        <v>4.21</v>
      </c>
    </row>
    <row r="111" spans="1:7" x14ac:dyDescent="0.2">
      <c r="A111" s="6">
        <f>COUNTIF(E$2:E111,E111)</f>
        <v>4</v>
      </c>
      <c r="B111" s="6">
        <v>7</v>
      </c>
      <c r="C111" s="6" t="str">
        <f t="shared" si="9"/>
        <v>Martin Fry4</v>
      </c>
      <c r="D111" s="6">
        <v>14</v>
      </c>
      <c r="E111" t="str">
        <f>+'Stage Entry'!AG20</f>
        <v>Martin Fry</v>
      </c>
      <c r="F111" s="99">
        <f>+'Stage Entry'!AH20</f>
        <v>1.3321759259259261E-2</v>
      </c>
      <c r="G111" s="7">
        <f t="shared" si="12"/>
        <v>4.21</v>
      </c>
    </row>
    <row r="112" spans="1:7" x14ac:dyDescent="0.2">
      <c r="A112" s="6">
        <f>COUNTIF(E$2:E112,E112)</f>
        <v>4</v>
      </c>
      <c r="B112" s="6">
        <v>8</v>
      </c>
      <c r="C112" s="6" t="str">
        <f t="shared" si="9"/>
        <v>Bao Hoang4</v>
      </c>
      <c r="D112" s="6">
        <v>14</v>
      </c>
      <c r="E112" t="str">
        <f>+'Stage Entry'!AG21</f>
        <v>Bao Hoang</v>
      </c>
      <c r="F112" s="99">
        <f>+'Stage Entry'!AH21</f>
        <v>1.3460648148148147E-2</v>
      </c>
      <c r="G112" s="7">
        <f t="shared" si="12"/>
        <v>4.21</v>
      </c>
    </row>
    <row r="113" spans="1:7" x14ac:dyDescent="0.2">
      <c r="A113" s="6">
        <f>COUNTIF(E$2:E113,E113)</f>
        <v>4</v>
      </c>
      <c r="B113" s="6">
        <v>9</v>
      </c>
      <c r="C113" s="6" t="str">
        <f t="shared" si="9"/>
        <v>Chris Wade4</v>
      </c>
      <c r="D113" s="6">
        <v>14</v>
      </c>
      <c r="E113" t="str">
        <f>+'Stage Entry'!AG22</f>
        <v>Chris Wade</v>
      </c>
      <c r="F113" s="99">
        <f>+'Stage Entry'!AH22</f>
        <v>1.1921296296296298E-2</v>
      </c>
      <c r="G113" s="7">
        <f t="shared" si="12"/>
        <v>4.21</v>
      </c>
    </row>
    <row r="114" spans="1:7" x14ac:dyDescent="0.2">
      <c r="A114" s="6">
        <f>COUNTIF(E$2:E114,E114)</f>
        <v>4</v>
      </c>
      <c r="B114" s="6">
        <v>1</v>
      </c>
      <c r="C114" s="6" t="str">
        <f t="shared" si="9"/>
        <v>Anna Locarnini4</v>
      </c>
      <c r="D114" s="6">
        <v>15</v>
      </c>
      <c r="E114" t="str">
        <f>+'Stage Entry'!AL15</f>
        <v>Anna Locarnini</v>
      </c>
      <c r="F114" s="99">
        <f>+'Stage Entry'!AM15</f>
        <v>1.3680555555555555E-2</v>
      </c>
      <c r="G114" s="7">
        <f t="shared" ref="G114:G121" si="13">Dist13</f>
        <v>4.49</v>
      </c>
    </row>
    <row r="115" spans="1:7" x14ac:dyDescent="0.2">
      <c r="A115" s="6">
        <f>COUNTIF(E$2:E115,E115)</f>
        <v>4</v>
      </c>
      <c r="B115" s="6">
        <v>2</v>
      </c>
      <c r="C115" s="6" t="str">
        <f t="shared" si="9"/>
        <v>Scott Stacey4</v>
      </c>
      <c r="D115" s="6">
        <v>15</v>
      </c>
      <c r="E115" t="str">
        <f>+'Stage Entry'!AL16</f>
        <v>Scott Stacey</v>
      </c>
      <c r="F115" s="99">
        <f>+'Stage Entry'!AM16</f>
        <v>1.0717592592592593E-2</v>
      </c>
      <c r="G115" s="7">
        <f t="shared" si="13"/>
        <v>4.49</v>
      </c>
    </row>
    <row r="116" spans="1:7" x14ac:dyDescent="0.2">
      <c r="A116" s="6">
        <f>COUNTIF(E$2:E116,E116)</f>
        <v>4</v>
      </c>
      <c r="B116" s="6">
        <v>3</v>
      </c>
      <c r="C116" s="6" t="str">
        <f t="shared" si="9"/>
        <v>Darren Bowden4</v>
      </c>
      <c r="D116" s="6">
        <v>15</v>
      </c>
      <c r="E116" t="str">
        <f>+'Stage Entry'!AL17</f>
        <v>Darren Bowden</v>
      </c>
      <c r="F116" s="99">
        <f>+'Stage Entry'!AM17</f>
        <v>1.0173611111111111E-2</v>
      </c>
      <c r="G116" s="7">
        <f t="shared" si="13"/>
        <v>4.49</v>
      </c>
    </row>
    <row r="117" spans="1:7" x14ac:dyDescent="0.2">
      <c r="A117" s="6">
        <f>COUNTIF(E$2:E117,E117)</f>
        <v>4</v>
      </c>
      <c r="B117" s="6">
        <v>4</v>
      </c>
      <c r="C117" s="6" t="str">
        <f t="shared" si="9"/>
        <v>Chris Wright4</v>
      </c>
      <c r="D117" s="6">
        <v>15</v>
      </c>
      <c r="E117" t="str">
        <f>+'Stage Entry'!AL18</f>
        <v>Chris Wright</v>
      </c>
      <c r="F117" s="99">
        <f>+'Stage Entry'!AM18</f>
        <v>1.1481481481481483E-2</v>
      </c>
      <c r="G117" s="7">
        <f t="shared" si="13"/>
        <v>4.49</v>
      </c>
    </row>
    <row r="118" spans="1:7" x14ac:dyDescent="0.2">
      <c r="A118" s="6">
        <f>COUNTIF(E$2:E118,E118)</f>
        <v>4</v>
      </c>
      <c r="B118" s="6">
        <v>6</v>
      </c>
      <c r="C118" s="6" t="str">
        <f t="shared" si="9"/>
        <v>Garth Calder4</v>
      </c>
      <c r="D118" s="6">
        <v>15</v>
      </c>
      <c r="E118" t="str">
        <f>+'Stage Entry'!AL19</f>
        <v>Garth Calder</v>
      </c>
      <c r="F118" s="99">
        <f>+'Stage Entry'!AM19</f>
        <v>1.1423611111111112E-2</v>
      </c>
      <c r="G118" s="7">
        <f t="shared" si="13"/>
        <v>4.49</v>
      </c>
    </row>
    <row r="119" spans="1:7" x14ac:dyDescent="0.2">
      <c r="A119" s="6">
        <f>COUNTIF(E$2:E119,E119)</f>
        <v>4</v>
      </c>
      <c r="B119" s="6">
        <v>7</v>
      </c>
      <c r="C119" s="6" t="str">
        <f t="shared" si="9"/>
        <v>David Alcock4</v>
      </c>
      <c r="D119" s="6">
        <v>15</v>
      </c>
      <c r="E119" t="str">
        <f>+'Stage Entry'!AL20</f>
        <v>David Alcock</v>
      </c>
      <c r="F119" s="99">
        <f>+'Stage Entry'!AM20</f>
        <v>1.0960648148148148E-2</v>
      </c>
      <c r="G119" s="7">
        <f t="shared" si="13"/>
        <v>4.49</v>
      </c>
    </row>
    <row r="120" spans="1:7" x14ac:dyDescent="0.2">
      <c r="A120" s="6">
        <f>COUNTIF(E$2:E120,E120)</f>
        <v>4</v>
      </c>
      <c r="B120" s="6">
        <v>8</v>
      </c>
      <c r="C120" s="6" t="str">
        <f t="shared" si="9"/>
        <v>Andrew Pintar4</v>
      </c>
      <c r="D120" s="6">
        <v>15</v>
      </c>
      <c r="E120" t="str">
        <f>+'Stage Entry'!AL21</f>
        <v>Andrew Pintar</v>
      </c>
      <c r="F120" s="99">
        <f>+'Stage Entry'!AM21</f>
        <v>1.1354166666666667E-2</v>
      </c>
      <c r="G120" s="7">
        <f t="shared" si="13"/>
        <v>4.49</v>
      </c>
    </row>
    <row r="121" spans="1:7" x14ac:dyDescent="0.2">
      <c r="A121" s="6">
        <f>COUNTIF(E$2:E121,E121)</f>
        <v>4</v>
      </c>
      <c r="B121" s="6">
        <v>9</v>
      </c>
      <c r="C121" s="6" t="str">
        <f t="shared" si="9"/>
        <v>Richard Does4</v>
      </c>
      <c r="D121" s="6">
        <v>15</v>
      </c>
      <c r="E121" t="str">
        <f>+'Stage Entry'!AL22</f>
        <v>Richard Does</v>
      </c>
      <c r="F121" s="99">
        <f>+'Stage Entry'!AM22</f>
        <v>1.1469907407407408E-2</v>
      </c>
      <c r="G121" s="7">
        <f t="shared" si="13"/>
        <v>4.49</v>
      </c>
    </row>
    <row r="122" spans="1:7" x14ac:dyDescent="0.2">
      <c r="A122" s="6">
        <f>COUNTIF(E$2:E122,E122)</f>
        <v>4</v>
      </c>
      <c r="B122" s="6">
        <v>1</v>
      </c>
      <c r="C122" s="6" t="str">
        <f t="shared" si="9"/>
        <v>Beata Janetzki4</v>
      </c>
      <c r="D122" s="6">
        <v>16</v>
      </c>
      <c r="E122" t="str">
        <f>+'Stage Entry'!AQ15</f>
        <v>Beata Janetzki</v>
      </c>
      <c r="F122" s="99">
        <f>+'Stage Entry'!AR15</f>
        <v>1.0266203703703703E-2</v>
      </c>
      <c r="G122" s="7">
        <f t="shared" ref="G122:G129" si="14">Dist14</f>
        <v>3.66</v>
      </c>
    </row>
    <row r="123" spans="1:7" x14ac:dyDescent="0.2">
      <c r="A123" s="6">
        <f>COUNTIF(E$2:E123,E123)</f>
        <v>4</v>
      </c>
      <c r="B123" s="6">
        <v>2</v>
      </c>
      <c r="C123" s="6" t="str">
        <f t="shared" si="9"/>
        <v>Hugh Hunter4</v>
      </c>
      <c r="D123" s="6">
        <v>16</v>
      </c>
      <c r="E123" t="str">
        <f>+'Stage Entry'!AQ16</f>
        <v>Hugh Hunter</v>
      </c>
      <c r="F123" s="99">
        <f>+'Stage Entry'!AR16</f>
        <v>1.2731481481481481E-2</v>
      </c>
      <c r="G123" s="7">
        <f t="shared" si="14"/>
        <v>3.66</v>
      </c>
    </row>
    <row r="124" spans="1:7" x14ac:dyDescent="0.2">
      <c r="A124" s="6">
        <f>COUNTIF(E$2:E124,E124)</f>
        <v>4</v>
      </c>
      <c r="B124" s="6">
        <v>3</v>
      </c>
      <c r="C124" s="6" t="str">
        <f t="shared" si="9"/>
        <v>Mel Jansen4</v>
      </c>
      <c r="D124" s="6">
        <v>16</v>
      </c>
      <c r="E124" t="str">
        <f>+'Stage Entry'!AQ17</f>
        <v>Mel Jansen</v>
      </c>
      <c r="F124" s="99">
        <f>+'Stage Entry'!AR17</f>
        <v>1.1076388888888887E-2</v>
      </c>
      <c r="G124" s="7">
        <f t="shared" si="14"/>
        <v>3.66</v>
      </c>
    </row>
    <row r="125" spans="1:7" x14ac:dyDescent="0.2">
      <c r="A125" s="6">
        <f>COUNTIF(E$2:E125,E125)</f>
        <v>4</v>
      </c>
      <c r="B125" s="6">
        <v>4</v>
      </c>
      <c r="C125" s="6" t="str">
        <f t="shared" si="9"/>
        <v>Nick Tobin4</v>
      </c>
      <c r="D125" s="6">
        <v>16</v>
      </c>
      <c r="E125" t="str">
        <f>+'Stage Entry'!AQ18</f>
        <v>Nick Tobin</v>
      </c>
      <c r="F125" s="99">
        <f>+'Stage Entry'!AR18</f>
        <v>1.1388888888888888E-2</v>
      </c>
      <c r="G125" s="7">
        <f t="shared" si="14"/>
        <v>3.66</v>
      </c>
    </row>
    <row r="126" spans="1:7" x14ac:dyDescent="0.2">
      <c r="A126" s="6">
        <f>COUNTIF(E$2:E126,E126)</f>
        <v>4</v>
      </c>
      <c r="B126" s="6">
        <v>6</v>
      </c>
      <c r="C126" s="6" t="str">
        <f t="shared" si="9"/>
        <v>Luke Pengelly4</v>
      </c>
      <c r="D126" s="6">
        <v>16</v>
      </c>
      <c r="E126" t="str">
        <f>+'Stage Entry'!AQ19</f>
        <v>Luke Pengelly</v>
      </c>
      <c r="F126" s="99">
        <f>+'Stage Entry'!AR19</f>
        <v>1.1006944444444444E-2</v>
      </c>
      <c r="G126" s="7">
        <f t="shared" si="14"/>
        <v>3.66</v>
      </c>
    </row>
    <row r="127" spans="1:7" x14ac:dyDescent="0.2">
      <c r="A127" s="6">
        <f>COUNTIF(E$2:E127,E127)</f>
        <v>4</v>
      </c>
      <c r="B127" s="6">
        <v>7</v>
      </c>
      <c r="C127" s="6" t="str">
        <f t="shared" si="9"/>
        <v>Brenton Norman4</v>
      </c>
      <c r="D127" s="6">
        <v>16</v>
      </c>
      <c r="E127" t="str">
        <f>+'Stage Entry'!AQ20</f>
        <v>Brenton Norman</v>
      </c>
      <c r="F127" s="99">
        <f>+'Stage Entry'!AR20</f>
        <v>1.105324074074074E-2</v>
      </c>
      <c r="G127" s="7">
        <f t="shared" si="14"/>
        <v>3.66</v>
      </c>
    </row>
    <row r="128" spans="1:7" x14ac:dyDescent="0.2">
      <c r="A128" s="6">
        <f>COUNTIF(E$2:E128,E128)</f>
        <v>4</v>
      </c>
      <c r="B128" s="6">
        <v>8</v>
      </c>
      <c r="C128" s="6" t="str">
        <f t="shared" si="9"/>
        <v>Scott Smith4</v>
      </c>
      <c r="D128" s="6">
        <v>16</v>
      </c>
      <c r="E128" t="str">
        <f>+'Stage Entry'!AQ21</f>
        <v>Scott Smith</v>
      </c>
      <c r="F128" s="99">
        <f>+'Stage Entry'!AR21</f>
        <v>9.6412037037037039E-3</v>
      </c>
      <c r="G128" s="7">
        <f t="shared" si="14"/>
        <v>3.66</v>
      </c>
    </row>
    <row r="129" spans="1:7" x14ac:dyDescent="0.2">
      <c r="A129" s="6">
        <f>COUNTIF(E$2:E129,E129)</f>
        <v>4</v>
      </c>
      <c r="B129" s="6">
        <v>9</v>
      </c>
      <c r="C129" s="6" t="str">
        <f t="shared" si="9"/>
        <v>Dale Nardella4</v>
      </c>
      <c r="D129" s="6">
        <v>16</v>
      </c>
      <c r="E129" t="str">
        <f>+'Stage Entry'!AQ22</f>
        <v>Dale Nardella</v>
      </c>
      <c r="F129" s="99">
        <f>+'Stage Entry'!AR22</f>
        <v>1.0625000000000001E-2</v>
      </c>
      <c r="G129" s="7">
        <f t="shared" si="14"/>
        <v>3.66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496C19FE9CE441AAF72718BBB994E1" ma:contentTypeVersion="13" ma:contentTypeDescription="Create a new document." ma:contentTypeScope="" ma:versionID="765b523a3aef76460ce87476f3efaff7">
  <xsd:schema xmlns:xsd="http://www.w3.org/2001/XMLSchema" xmlns:xs="http://www.w3.org/2001/XMLSchema" xmlns:p="http://schemas.microsoft.com/office/2006/metadata/properties" xmlns:ns3="ac5de303-9f3a-43f8-be63-f3cd072de771" xmlns:ns4="2da954cf-dbd5-4234-a341-0d5de261850f" targetNamespace="http://schemas.microsoft.com/office/2006/metadata/properties" ma:root="true" ma:fieldsID="165614cdf751b90144fbcebb396679f5" ns3:_="" ns4:_="">
    <xsd:import namespace="ac5de303-9f3a-43f8-be63-f3cd072de771"/>
    <xsd:import namespace="2da954cf-dbd5-4234-a341-0d5de26185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e303-9f3a-43f8-be63-f3cd072de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954cf-dbd5-4234-a341-0d5de26185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8635BE-421A-4A7C-9C70-344463D13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de303-9f3a-43f8-be63-f3cd072de771"/>
    <ds:schemaRef ds:uri="2da954cf-dbd5-4234-a341-0d5de26185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07713-101E-424B-88B9-1D0196FB53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0D7895-5C42-40D0-B1EC-2CB216F54B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Team Selection</vt:lpstr>
      <vt:lpstr>Stage Entry</vt:lpstr>
      <vt:lpstr>Teams by Stage</vt:lpstr>
      <vt:lpstr>Runner Performance</vt:lpstr>
      <vt:lpstr>Data</vt:lpstr>
      <vt:lpstr>Stage-by-Stage</vt:lpstr>
      <vt:lpstr>Dist1</vt:lpstr>
      <vt:lpstr>Dist10</vt:lpstr>
      <vt:lpstr>Dist11</vt:lpstr>
      <vt:lpstr>Dist12</vt:lpstr>
      <vt:lpstr>Dist13</vt:lpstr>
      <vt:lpstr>Dist14</vt:lpstr>
      <vt:lpstr>Dist2</vt:lpstr>
      <vt:lpstr>Dist3</vt:lpstr>
      <vt:lpstr>Dist4</vt:lpstr>
      <vt:lpstr>Dist5</vt:lpstr>
      <vt:lpstr>Dist6</vt:lpstr>
      <vt:lpstr>Dist7</vt:lpstr>
      <vt:lpstr>Dist8</vt:lpstr>
      <vt:lpstr>Dist9</vt:lpstr>
      <vt:lpstr>'Stage Entry'!Print_Area</vt:lpstr>
      <vt:lpstr>'Team Selection'!Print_Area</vt:lpstr>
      <vt:lpstr>'Stage Entry'!Print_Titles</vt:lpstr>
      <vt:lpstr>Team1</vt:lpstr>
      <vt:lpstr>Team2</vt:lpstr>
      <vt:lpstr>Team3</vt:lpstr>
      <vt:lpstr>Team4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Mathews</dc:creator>
  <cp:lastModifiedBy>Shane Fielding</cp:lastModifiedBy>
  <cp:lastPrinted>2007-11-04T21:20:19Z</cp:lastPrinted>
  <dcterms:created xsi:type="dcterms:W3CDTF">2001-03-07T08:50:40Z</dcterms:created>
  <dcterms:modified xsi:type="dcterms:W3CDTF">2020-03-16T21:09:23Z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0x010100B2496C19FE9CE441AAF72718BBB994E1</vt:lpwstr>
  </property>
</Properties>
</file>