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ersonal\"/>
    </mc:Choice>
  </mc:AlternateContent>
  <xr:revisionPtr revIDLastSave="0" documentId="13_ncr:1_{D4E96425-9BCB-4BF0-96C1-04A0A1D34E4C}" xr6:coauthVersionLast="45" xr6:coauthVersionMax="45" xr10:uidLastSave="{00000000-0000-0000-0000-000000000000}"/>
  <bookViews>
    <workbookView xWindow="28680" yWindow="-75" windowWidth="29040" windowHeight="15840" tabRatio="846" xr2:uid="{00000000-000D-0000-FFFF-FFFF00000000}"/>
  </bookViews>
  <sheets>
    <sheet name="Progress points - Female" sheetId="1" r:id="rId1"/>
    <sheet name="Progress points - Male" sheetId="15" r:id="rId2"/>
    <sheet name="2 Bridges Relay" sheetId="13" r:id="rId3"/>
    <sheet name="5M's" sheetId="5" r:id="rId4"/>
    <sheet name="Mile handicap" sheetId="3" r:id="rId5"/>
    <sheet name="5000m handicap" sheetId="8" r:id="rId6"/>
    <sheet name="KL handicap" sheetId="7" r:id="rId7"/>
    <sheet name="3000m handicap" sheetId="11" r:id="rId8"/>
    <sheet name="10 km" sheetId="6" r:id="rId9"/>
    <sheet name="Peter Moor 2000m" sheetId="16" r:id="rId10"/>
    <sheet name="Max Howard Tan handicap" sheetId="12" r:id="rId11"/>
    <sheet name="parkrun" sheetId="14" r:id="rId12"/>
  </sheets>
  <definedNames>
    <definedName name="_xlnm._FilterDatabase" localSheetId="0" hidden="1">'Progress points - Female'!$A$1:$U$42</definedName>
    <definedName name="_xlnm._FilterDatabase" localSheetId="1" hidden="1">'Progress points - Male'!$A$1:$U$230</definedName>
    <definedName name="_xlnm.Print_Area" localSheetId="0">'Progress points - Female'!$A$1:$U$61</definedName>
    <definedName name="_xlnm.Print_Area" localSheetId="1">'Progress points - Male'!$A$1:$U$235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5" l="1"/>
  <c r="N13" i="15"/>
  <c r="N14" i="15"/>
  <c r="F163" i="15" l="1"/>
  <c r="G163" i="15"/>
  <c r="H163" i="15"/>
  <c r="I163" i="15"/>
  <c r="J163" i="15"/>
  <c r="K163" i="15"/>
  <c r="L163" i="15"/>
  <c r="M163" i="15"/>
  <c r="N163" i="15"/>
  <c r="O163" i="15"/>
  <c r="F161" i="15"/>
  <c r="G161" i="15"/>
  <c r="H161" i="15"/>
  <c r="I161" i="15"/>
  <c r="J161" i="15"/>
  <c r="K161" i="15"/>
  <c r="L161" i="15"/>
  <c r="M161" i="15"/>
  <c r="N161" i="15"/>
  <c r="O161" i="15"/>
  <c r="F229" i="15"/>
  <c r="G229" i="15"/>
  <c r="H229" i="15"/>
  <c r="I229" i="15"/>
  <c r="J229" i="15"/>
  <c r="K229" i="15"/>
  <c r="L229" i="15"/>
  <c r="M229" i="15"/>
  <c r="N229" i="15"/>
  <c r="O229" i="15"/>
  <c r="F110" i="15"/>
  <c r="G110" i="15"/>
  <c r="H110" i="15"/>
  <c r="I110" i="15"/>
  <c r="J110" i="15"/>
  <c r="K110" i="15"/>
  <c r="L110" i="15"/>
  <c r="M110" i="15"/>
  <c r="N110" i="15"/>
  <c r="O110" i="15"/>
  <c r="Q110" i="15" s="1"/>
  <c r="F153" i="15"/>
  <c r="G153" i="15"/>
  <c r="H153" i="15"/>
  <c r="I153" i="15"/>
  <c r="J153" i="15"/>
  <c r="K153" i="15"/>
  <c r="L153" i="15"/>
  <c r="M153" i="15"/>
  <c r="N153" i="15"/>
  <c r="O153" i="15"/>
  <c r="F157" i="15"/>
  <c r="G157" i="15"/>
  <c r="H157" i="15"/>
  <c r="I157" i="15"/>
  <c r="J157" i="15"/>
  <c r="K157" i="15"/>
  <c r="L157" i="15"/>
  <c r="M157" i="15"/>
  <c r="N157" i="15"/>
  <c r="O157" i="15"/>
  <c r="F184" i="15"/>
  <c r="G184" i="15"/>
  <c r="H184" i="15"/>
  <c r="I184" i="15"/>
  <c r="J184" i="15"/>
  <c r="K184" i="15"/>
  <c r="L184" i="15"/>
  <c r="M184" i="15"/>
  <c r="N184" i="15"/>
  <c r="O184" i="15"/>
  <c r="F227" i="15"/>
  <c r="G227" i="15"/>
  <c r="H227" i="15"/>
  <c r="I227" i="15"/>
  <c r="J227" i="15"/>
  <c r="K227" i="15"/>
  <c r="L227" i="15"/>
  <c r="M227" i="15"/>
  <c r="N227" i="15"/>
  <c r="O227" i="15"/>
  <c r="F206" i="15"/>
  <c r="G206" i="15"/>
  <c r="H206" i="15"/>
  <c r="I206" i="15"/>
  <c r="J206" i="15"/>
  <c r="K206" i="15"/>
  <c r="L206" i="15"/>
  <c r="M206" i="15"/>
  <c r="N206" i="15"/>
  <c r="O206" i="15"/>
  <c r="F200" i="15"/>
  <c r="G200" i="15"/>
  <c r="H200" i="15"/>
  <c r="I200" i="15"/>
  <c r="J200" i="15"/>
  <c r="K200" i="15"/>
  <c r="L200" i="15"/>
  <c r="M200" i="15"/>
  <c r="N200" i="15"/>
  <c r="O200" i="15"/>
  <c r="F224" i="15"/>
  <c r="G224" i="15"/>
  <c r="H224" i="15"/>
  <c r="I224" i="15"/>
  <c r="J224" i="15"/>
  <c r="K224" i="15"/>
  <c r="L224" i="15"/>
  <c r="M224" i="15"/>
  <c r="N224" i="15"/>
  <c r="O224" i="15"/>
  <c r="F47" i="1"/>
  <c r="G47" i="1"/>
  <c r="H47" i="1"/>
  <c r="I47" i="1"/>
  <c r="J47" i="1"/>
  <c r="K47" i="1"/>
  <c r="L47" i="1"/>
  <c r="M47" i="1"/>
  <c r="N47" i="1"/>
  <c r="O47" i="1"/>
  <c r="Q161" i="15" l="1"/>
  <c r="R47" i="1"/>
  <c r="Q184" i="15"/>
  <c r="Q153" i="15"/>
  <c r="Q229" i="15"/>
  <c r="Q163" i="15"/>
  <c r="P229" i="15"/>
  <c r="P157" i="15"/>
  <c r="Q157" i="15"/>
  <c r="P224" i="15"/>
  <c r="P206" i="15"/>
  <c r="R163" i="15"/>
  <c r="R110" i="15"/>
  <c r="Q224" i="15"/>
  <c r="R227" i="15"/>
  <c r="P184" i="15"/>
  <c r="R153" i="15"/>
  <c r="P110" i="15"/>
  <c r="S110" i="15" s="1"/>
  <c r="R184" i="15"/>
  <c r="R200" i="15"/>
  <c r="Q206" i="15"/>
  <c r="P200" i="15"/>
  <c r="P227" i="15"/>
  <c r="R157" i="15"/>
  <c r="P153" i="15"/>
  <c r="R161" i="15"/>
  <c r="R224" i="15"/>
  <c r="Q200" i="15"/>
  <c r="R206" i="15"/>
  <c r="Q227" i="15"/>
  <c r="R229" i="15"/>
  <c r="P161" i="15"/>
  <c r="P163" i="15"/>
  <c r="Q47" i="1"/>
  <c r="P47" i="1"/>
  <c r="S153" i="15" l="1"/>
  <c r="S157" i="15"/>
  <c r="S224" i="15"/>
  <c r="S229" i="15"/>
  <c r="S200" i="15"/>
  <c r="S163" i="15"/>
  <c r="S184" i="15"/>
  <c r="S206" i="15"/>
  <c r="S227" i="15"/>
  <c r="S161" i="15"/>
  <c r="S47" i="1"/>
  <c r="J137" i="14" l="1"/>
  <c r="E137" i="14" s="1"/>
  <c r="J134" i="14"/>
  <c r="E134" i="14" s="1"/>
  <c r="J121" i="14"/>
  <c r="E121" i="14" s="1"/>
  <c r="J118" i="14"/>
  <c r="E118" i="14" s="1"/>
  <c r="J119" i="14"/>
  <c r="E119" i="14" s="1"/>
  <c r="J122" i="14"/>
  <c r="E122" i="14" s="1"/>
  <c r="J124" i="14"/>
  <c r="E124" i="14" s="1"/>
  <c r="J125" i="14"/>
  <c r="E125" i="14" s="1"/>
  <c r="J126" i="14"/>
  <c r="E126" i="14" s="1"/>
  <c r="J127" i="14"/>
  <c r="E127" i="14" s="1"/>
  <c r="J128" i="14"/>
  <c r="E128" i="14" s="1"/>
  <c r="J130" i="14"/>
  <c r="E130" i="14" s="1"/>
  <c r="J131" i="14"/>
  <c r="E131" i="14" s="1"/>
  <c r="J132" i="14"/>
  <c r="E132" i="14" s="1"/>
  <c r="J133" i="14"/>
  <c r="E133" i="14" s="1"/>
  <c r="J135" i="14"/>
  <c r="E135" i="14" s="1"/>
  <c r="J136" i="14"/>
  <c r="E136" i="14" s="1"/>
  <c r="J138" i="14"/>
  <c r="E138" i="14" s="1"/>
  <c r="J139" i="14"/>
  <c r="E139" i="14" s="1"/>
  <c r="A118" i="14"/>
  <c r="H118" i="14" s="1"/>
  <c r="A119" i="14"/>
  <c r="H119" i="14" s="1"/>
  <c r="A120" i="14"/>
  <c r="H120" i="14" s="1"/>
  <c r="J120" i="14"/>
  <c r="E120" i="14" s="1"/>
  <c r="A121" i="14"/>
  <c r="H121" i="14" s="1"/>
  <c r="A122" i="14"/>
  <c r="H122" i="14" s="1"/>
  <c r="A123" i="14"/>
  <c r="H123" i="14" s="1"/>
  <c r="J123" i="14"/>
  <c r="E123" i="14" s="1"/>
  <c r="A124" i="14"/>
  <c r="H124" i="14" s="1"/>
  <c r="A125" i="14"/>
  <c r="H125" i="14" s="1"/>
  <c r="A126" i="14"/>
  <c r="H126" i="14" s="1"/>
  <c r="A127" i="14"/>
  <c r="H127" i="14" s="1"/>
  <c r="A128" i="14"/>
  <c r="H128" i="14" s="1"/>
  <c r="A129" i="14"/>
  <c r="H129" i="14" s="1"/>
  <c r="J129" i="14"/>
  <c r="E129" i="14" s="1"/>
  <c r="A130" i="14"/>
  <c r="H130" i="14" s="1"/>
  <c r="A131" i="14"/>
  <c r="H131" i="14" s="1"/>
  <c r="A132" i="14"/>
  <c r="H132" i="14" s="1"/>
  <c r="A133" i="14"/>
  <c r="H133" i="14" s="1"/>
  <c r="A134" i="14"/>
  <c r="H134" i="14" s="1"/>
  <c r="A135" i="14"/>
  <c r="H135" i="14" s="1"/>
  <c r="A136" i="14"/>
  <c r="H136" i="14" s="1"/>
  <c r="A137" i="14"/>
  <c r="H137" i="14" s="1"/>
  <c r="A138" i="14"/>
  <c r="H138" i="14" s="1"/>
  <c r="A139" i="14"/>
  <c r="H139" i="14" s="1"/>
  <c r="H3" i="6" l="1"/>
  <c r="F3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" i="16"/>
  <c r="M8" i="15"/>
  <c r="M11" i="15"/>
  <c r="M6" i="15"/>
  <c r="M7" i="15"/>
  <c r="M10" i="15"/>
  <c r="M14" i="15"/>
  <c r="M9" i="15"/>
  <c r="M12" i="15"/>
  <c r="M24" i="15"/>
  <c r="M19" i="15"/>
  <c r="M16" i="15"/>
  <c r="M20" i="15"/>
  <c r="M18" i="15"/>
  <c r="M25" i="15"/>
  <c r="M28" i="15"/>
  <c r="M23" i="15"/>
  <c r="M29" i="15"/>
  <c r="M27" i="15"/>
  <c r="M21" i="15"/>
  <c r="M15" i="15"/>
  <c r="M35" i="15"/>
  <c r="M13" i="15"/>
  <c r="M30" i="15"/>
  <c r="M26" i="15"/>
  <c r="M34" i="15"/>
  <c r="M17" i="15"/>
  <c r="M31" i="15"/>
  <c r="M44" i="15"/>
  <c r="M22" i="15"/>
  <c r="M32" i="15"/>
  <c r="M48" i="15"/>
  <c r="M36" i="15"/>
  <c r="M41" i="15"/>
  <c r="M49" i="15"/>
  <c r="M46" i="15"/>
  <c r="M37" i="15"/>
  <c r="M45" i="15"/>
  <c r="M39" i="15"/>
  <c r="M43" i="15"/>
  <c r="M33" i="15"/>
  <c r="M40" i="15"/>
  <c r="M74" i="15"/>
  <c r="M42" i="15"/>
  <c r="M69" i="15"/>
  <c r="M73" i="15"/>
  <c r="M67" i="15"/>
  <c r="M80" i="15"/>
  <c r="M62" i="15"/>
  <c r="M81" i="15"/>
  <c r="M66" i="15"/>
  <c r="M82" i="15"/>
  <c r="M75" i="15"/>
  <c r="M68" i="15"/>
  <c r="M79" i="15"/>
  <c r="M87" i="15"/>
  <c r="M51" i="15"/>
  <c r="M55" i="15"/>
  <c r="M54" i="15"/>
  <c r="M72" i="15"/>
  <c r="M50" i="15"/>
  <c r="M65" i="15"/>
  <c r="M90" i="15"/>
  <c r="M93" i="15"/>
  <c r="M88" i="15"/>
  <c r="M58" i="15"/>
  <c r="M47" i="15"/>
  <c r="M59" i="15"/>
  <c r="M61" i="15"/>
  <c r="M63" i="15"/>
  <c r="M97" i="15"/>
  <c r="M52" i="15"/>
  <c r="M100" i="15"/>
  <c r="M70" i="15"/>
  <c r="M103" i="15"/>
  <c r="M56" i="15"/>
  <c r="M104" i="15"/>
  <c r="M106" i="15"/>
  <c r="M60" i="15"/>
  <c r="M86" i="15"/>
  <c r="M77" i="15"/>
  <c r="M78" i="15"/>
  <c r="M111" i="15"/>
  <c r="M116" i="15"/>
  <c r="M38" i="15"/>
  <c r="M71" i="15"/>
  <c r="M121" i="15"/>
  <c r="M64" i="15"/>
  <c r="M85" i="15"/>
  <c r="M107" i="15"/>
  <c r="M109" i="15"/>
  <c r="M144" i="15"/>
  <c r="M127" i="15"/>
  <c r="M146" i="15"/>
  <c r="M95" i="15"/>
  <c r="M147" i="15"/>
  <c r="M102" i="15"/>
  <c r="M148" i="15"/>
  <c r="M122" i="15"/>
  <c r="M149" i="15"/>
  <c r="M150" i="15"/>
  <c r="M151" i="15"/>
  <c r="M133" i="15"/>
  <c r="M152" i="15"/>
  <c r="M101" i="15"/>
  <c r="M154" i="15"/>
  <c r="M143" i="15"/>
  <c r="M155" i="15"/>
  <c r="M156" i="15"/>
  <c r="M158" i="15"/>
  <c r="M159" i="15"/>
  <c r="M160" i="15"/>
  <c r="M162" i="15"/>
  <c r="M92" i="15"/>
  <c r="M164" i="15"/>
  <c r="M135" i="15"/>
  <c r="M115" i="15"/>
  <c r="M165" i="15"/>
  <c r="M131" i="15"/>
  <c r="M117" i="15"/>
  <c r="M166" i="15"/>
  <c r="M167" i="15"/>
  <c r="M168" i="15"/>
  <c r="M169" i="15"/>
  <c r="M170" i="15"/>
  <c r="M171" i="15"/>
  <c r="M84" i="15"/>
  <c r="M98" i="15"/>
  <c r="M128" i="15"/>
  <c r="M119" i="15"/>
  <c r="M172" i="15"/>
  <c r="M173" i="15"/>
  <c r="M174" i="15"/>
  <c r="M134" i="15"/>
  <c r="M175" i="15"/>
  <c r="M176" i="15"/>
  <c r="M177" i="15"/>
  <c r="M178" i="15"/>
  <c r="M179" i="15"/>
  <c r="M94" i="15"/>
  <c r="M180" i="15"/>
  <c r="M132" i="15"/>
  <c r="M181" i="15"/>
  <c r="M120" i="15"/>
  <c r="M138" i="15"/>
  <c r="M126" i="15"/>
  <c r="M96" i="15"/>
  <c r="M137" i="15"/>
  <c r="M118" i="15"/>
  <c r="M125" i="15"/>
  <c r="M182" i="15"/>
  <c r="M183" i="15"/>
  <c r="M185" i="15"/>
  <c r="M186" i="15"/>
  <c r="M187" i="15"/>
  <c r="M188" i="15"/>
  <c r="M189" i="15"/>
  <c r="M190" i="15"/>
  <c r="M191" i="15"/>
  <c r="M192" i="15"/>
  <c r="M123" i="15"/>
  <c r="M129" i="15"/>
  <c r="M193" i="15"/>
  <c r="M194" i="15"/>
  <c r="M136" i="15"/>
  <c r="M112" i="15"/>
  <c r="M195" i="15"/>
  <c r="M196" i="15"/>
  <c r="M197" i="15"/>
  <c r="M57" i="15"/>
  <c r="M198" i="15"/>
  <c r="M91" i="15"/>
  <c r="M199" i="15"/>
  <c r="M141" i="15"/>
  <c r="M201" i="15"/>
  <c r="M202" i="15"/>
  <c r="M99" i="15"/>
  <c r="M203" i="15"/>
  <c r="M204" i="15"/>
  <c r="M205" i="15"/>
  <c r="M108" i="15"/>
  <c r="M207" i="15"/>
  <c r="M208" i="15"/>
  <c r="M209" i="15"/>
  <c r="M145" i="15"/>
  <c r="M210" i="15"/>
  <c r="M83" i="15"/>
  <c r="M211" i="15"/>
  <c r="M140" i="15"/>
  <c r="M89" i="15"/>
  <c r="M212" i="15"/>
  <c r="M213" i="15"/>
  <c r="M114" i="15"/>
  <c r="M214" i="15"/>
  <c r="M215" i="15"/>
  <c r="M216" i="15"/>
  <c r="M217" i="15"/>
  <c r="M124" i="15"/>
  <c r="M105" i="15"/>
  <c r="M142" i="15"/>
  <c r="M218" i="15"/>
  <c r="M219" i="15"/>
  <c r="M220" i="15"/>
  <c r="M221" i="15"/>
  <c r="M222" i="15"/>
  <c r="M223" i="15"/>
  <c r="M76" i="15"/>
  <c r="M53" i="15"/>
  <c r="M113" i="15"/>
  <c r="M225" i="15"/>
  <c r="M226" i="15"/>
  <c r="M228" i="15"/>
  <c r="M130" i="15"/>
  <c r="M139" i="15"/>
  <c r="M5" i="15"/>
  <c r="I32" i="16"/>
  <c r="I29" i="16"/>
  <c r="I30" i="16"/>
  <c r="M6" i="1"/>
  <c r="M7" i="1"/>
  <c r="M9" i="1"/>
  <c r="M8" i="1"/>
  <c r="M10" i="1"/>
  <c r="M11" i="1"/>
  <c r="M12" i="1"/>
  <c r="M23" i="1"/>
  <c r="M14" i="1"/>
  <c r="M15" i="1"/>
  <c r="M13" i="1"/>
  <c r="M16" i="1"/>
  <c r="M22" i="1"/>
  <c r="M21" i="1"/>
  <c r="M17" i="1"/>
  <c r="M19" i="1"/>
  <c r="M18" i="1"/>
  <c r="M31" i="1"/>
  <c r="M26" i="1"/>
  <c r="M27" i="1"/>
  <c r="M33" i="1"/>
  <c r="M34" i="1"/>
  <c r="M35" i="1"/>
  <c r="M36" i="1"/>
  <c r="M37" i="1"/>
  <c r="M38" i="1"/>
  <c r="M39" i="1"/>
  <c r="M40" i="1"/>
  <c r="M20" i="1"/>
  <c r="M41" i="1"/>
  <c r="M42" i="1"/>
  <c r="M43" i="1"/>
  <c r="M25" i="1"/>
  <c r="M44" i="1"/>
  <c r="M45" i="1"/>
  <c r="M30" i="1"/>
  <c r="M46" i="1"/>
  <c r="M28" i="1"/>
  <c r="M29" i="1"/>
  <c r="M48" i="1"/>
  <c r="M49" i="1"/>
  <c r="M50" i="1"/>
  <c r="M24" i="1"/>
  <c r="M51" i="1"/>
  <c r="M52" i="1"/>
  <c r="M32" i="1"/>
  <c r="M53" i="1"/>
  <c r="M54" i="1"/>
  <c r="M55" i="1"/>
  <c r="M56" i="1"/>
  <c r="M5" i="1"/>
  <c r="H10" i="16"/>
  <c r="H4" i="6" l="1"/>
  <c r="E3" i="16"/>
  <c r="G3" i="16" s="1"/>
  <c r="E4" i="16"/>
  <c r="G4" i="16" s="1"/>
  <c r="E5" i="16"/>
  <c r="G5" i="16" s="1"/>
  <c r="E6" i="16"/>
  <c r="G6" i="16" s="1"/>
  <c r="E7" i="16"/>
  <c r="G7" i="16" s="1"/>
  <c r="E8" i="16"/>
  <c r="G8" i="16" s="1"/>
  <c r="E9" i="16"/>
  <c r="G9" i="16" s="1"/>
  <c r="E10" i="16"/>
  <c r="G10" i="16" s="1"/>
  <c r="E11" i="16"/>
  <c r="G11" i="16" s="1"/>
  <c r="E12" i="16"/>
  <c r="G12" i="16" s="1"/>
  <c r="E13" i="16"/>
  <c r="G13" i="16" s="1"/>
  <c r="E14" i="16"/>
  <c r="G14" i="16" s="1"/>
  <c r="E15" i="16"/>
  <c r="G15" i="16" s="1"/>
  <c r="E16" i="16"/>
  <c r="G16" i="16" s="1"/>
  <c r="E17" i="16"/>
  <c r="G17" i="16" s="1"/>
  <c r="E18" i="16"/>
  <c r="G18" i="16" s="1"/>
  <c r="E19" i="16"/>
  <c r="G19" i="16" s="1"/>
  <c r="E20" i="16"/>
  <c r="G20" i="16" s="1"/>
  <c r="E21" i="16"/>
  <c r="G21" i="16" s="1"/>
  <c r="E22" i="16"/>
  <c r="G22" i="16" s="1"/>
  <c r="E23" i="16"/>
  <c r="G23" i="16" s="1"/>
  <c r="E2" i="16"/>
  <c r="G2" i="16" s="1"/>
  <c r="H46" i="6" l="1"/>
  <c r="H47" i="6"/>
  <c r="H48" i="6"/>
  <c r="F46" i="6"/>
  <c r="F47" i="6"/>
  <c r="F48" i="6"/>
  <c r="K49" i="11" l="1"/>
  <c r="K46" i="11"/>
  <c r="K45" i="11"/>
  <c r="K44" i="11"/>
  <c r="Q29" i="11"/>
  <c r="P4" i="11"/>
  <c r="Q4" i="11" s="1"/>
  <c r="P8" i="11"/>
  <c r="Q8" i="11" s="1"/>
  <c r="P21" i="11"/>
  <c r="Q21" i="11" s="1"/>
  <c r="P29" i="11"/>
  <c r="AD35" i="11"/>
  <c r="O35" i="11" s="1"/>
  <c r="AD34" i="11"/>
  <c r="AD33" i="11"/>
  <c r="O33" i="11" s="1"/>
  <c r="AD15" i="11"/>
  <c r="O15" i="11" s="1"/>
  <c r="AD13" i="11"/>
  <c r="O13" i="11" s="1"/>
  <c r="AD5" i="11"/>
  <c r="O5" i="11" s="1"/>
  <c r="AD4" i="11"/>
  <c r="O4" i="11" s="1"/>
  <c r="AD3" i="11"/>
  <c r="O3" i="11" s="1"/>
  <c r="AD6" i="11"/>
  <c r="O6" i="11" s="1"/>
  <c r="AD7" i="11"/>
  <c r="O7" i="11" s="1"/>
  <c r="AD8" i="11"/>
  <c r="O8" i="11" s="1"/>
  <c r="AD9" i="11"/>
  <c r="O9" i="11" s="1"/>
  <c r="AD10" i="11"/>
  <c r="O10" i="11" s="1"/>
  <c r="AD11" i="11"/>
  <c r="O11" i="11" s="1"/>
  <c r="AD12" i="11"/>
  <c r="O12" i="11" s="1"/>
  <c r="AD14" i="11"/>
  <c r="O14" i="11" s="1"/>
  <c r="AD16" i="11"/>
  <c r="O16" i="11" s="1"/>
  <c r="AD17" i="11"/>
  <c r="O17" i="11" s="1"/>
  <c r="AD18" i="11"/>
  <c r="O18" i="11" s="1"/>
  <c r="AD19" i="11"/>
  <c r="O19" i="11" s="1"/>
  <c r="AD20" i="11"/>
  <c r="O20" i="11" s="1"/>
  <c r="AD21" i="11"/>
  <c r="O21" i="11" s="1"/>
  <c r="AD22" i="11"/>
  <c r="O22" i="11" s="1"/>
  <c r="AD23" i="11"/>
  <c r="AD24" i="11"/>
  <c r="O24" i="11" s="1"/>
  <c r="AD25" i="11"/>
  <c r="O25" i="11" s="1"/>
  <c r="AD26" i="11"/>
  <c r="O26" i="11" s="1"/>
  <c r="AD27" i="11"/>
  <c r="O27" i="11" s="1"/>
  <c r="AD28" i="11"/>
  <c r="O28" i="11" s="1"/>
  <c r="AD29" i="11"/>
  <c r="O29" i="11" s="1"/>
  <c r="AD30" i="11"/>
  <c r="O30" i="11" s="1"/>
  <c r="AD31" i="11"/>
  <c r="O31" i="11" s="1"/>
  <c r="AD32" i="11"/>
  <c r="O32" i="11" s="1"/>
  <c r="O34" i="11"/>
  <c r="AD36" i="11"/>
  <c r="O36" i="11" s="1"/>
  <c r="AD37" i="11"/>
  <c r="O37" i="11" s="1"/>
  <c r="O23" i="11"/>
  <c r="AD2" i="11"/>
  <c r="H3" i="11"/>
  <c r="H4" i="11"/>
  <c r="H5" i="11"/>
  <c r="H9" i="11"/>
  <c r="H10" i="11"/>
  <c r="H13" i="11"/>
  <c r="H15" i="11"/>
  <c r="H19" i="11"/>
  <c r="H20" i="11"/>
  <c r="H22" i="11"/>
  <c r="H23" i="11"/>
  <c r="H26" i="11"/>
  <c r="H30" i="11"/>
  <c r="H33" i="11"/>
  <c r="H34" i="11"/>
  <c r="H35" i="11"/>
  <c r="H6" i="11"/>
  <c r="H7" i="11"/>
  <c r="H8" i="11"/>
  <c r="H11" i="11"/>
  <c r="H12" i="11"/>
  <c r="H14" i="11"/>
  <c r="H16" i="11"/>
  <c r="H17" i="11"/>
  <c r="H18" i="11"/>
  <c r="H21" i="11"/>
  <c r="H24" i="11"/>
  <c r="H25" i="11"/>
  <c r="H27" i="11"/>
  <c r="H28" i="11"/>
  <c r="H29" i="11"/>
  <c r="H31" i="11"/>
  <c r="H32" i="11"/>
  <c r="H36" i="11"/>
  <c r="H37" i="11"/>
  <c r="P11" i="11" l="1"/>
  <c r="Q11" i="11" s="1"/>
  <c r="P18" i="11"/>
  <c r="Q18" i="11" s="1"/>
  <c r="P7" i="11"/>
  <c r="Q7" i="11" s="1"/>
  <c r="P25" i="11"/>
  <c r="Q25" i="11" s="1"/>
  <c r="P12" i="11"/>
  <c r="Q12" i="11" s="1"/>
  <c r="P2" i="11"/>
  <c r="Q2" i="11" s="1"/>
  <c r="P30" i="11"/>
  <c r="Q30" i="11" s="1"/>
  <c r="P14" i="11"/>
  <c r="Q14" i="11" s="1"/>
  <c r="P37" i="11"/>
  <c r="Q37" i="11" s="1"/>
  <c r="P13" i="11"/>
  <c r="Q13" i="11" s="1"/>
  <c r="P36" i="11"/>
  <c r="Q36" i="11" s="1"/>
  <c r="P17" i="11"/>
  <c r="Q17" i="11" s="1"/>
  <c r="P5" i="11"/>
  <c r="Q5" i="11" s="1"/>
  <c r="P34" i="11"/>
  <c r="Q34" i="11" s="1"/>
  <c r="P24" i="11"/>
  <c r="Q24" i="11" s="1"/>
  <c r="P16" i="11"/>
  <c r="Q16" i="11" s="1"/>
  <c r="P3" i="11"/>
  <c r="Q3" i="11" s="1"/>
  <c r="P9" i="11"/>
  <c r="Q9" i="11" s="1"/>
  <c r="P26" i="11"/>
  <c r="Q26" i="11" s="1"/>
  <c r="P22" i="11"/>
  <c r="Q22" i="11" s="1"/>
  <c r="P10" i="11"/>
  <c r="Q10" i="11" s="1"/>
  <c r="P6" i="11"/>
  <c r="Q6" i="11" s="1"/>
  <c r="P32" i="11"/>
  <c r="Q32" i="11" s="1"/>
  <c r="P28" i="11"/>
  <c r="Q28" i="11" s="1"/>
  <c r="P20" i="11"/>
  <c r="Q20" i="11" s="1"/>
  <c r="P33" i="11"/>
  <c r="Q33" i="11" s="1"/>
  <c r="P35" i="11"/>
  <c r="Q35" i="11" s="1"/>
  <c r="P31" i="11"/>
  <c r="Q31" i="11" s="1"/>
  <c r="P27" i="11"/>
  <c r="Q27" i="11" s="1"/>
  <c r="P23" i="11"/>
  <c r="Q23" i="11" s="1"/>
  <c r="P19" i="11"/>
  <c r="Q19" i="11" s="1"/>
  <c r="P15" i="11"/>
  <c r="Q15" i="11" s="1"/>
  <c r="O137" i="15" l="1"/>
  <c r="N137" i="15"/>
  <c r="L137" i="15"/>
  <c r="K137" i="15"/>
  <c r="J137" i="15"/>
  <c r="I137" i="15"/>
  <c r="H137" i="15"/>
  <c r="G137" i="15"/>
  <c r="F137" i="15"/>
  <c r="O97" i="15"/>
  <c r="N97" i="15"/>
  <c r="K97" i="15"/>
  <c r="J97" i="15"/>
  <c r="I97" i="15"/>
  <c r="H97" i="15"/>
  <c r="G97" i="15"/>
  <c r="F97" i="15"/>
  <c r="O139" i="15"/>
  <c r="N139" i="15"/>
  <c r="L139" i="15"/>
  <c r="K139" i="15"/>
  <c r="J139" i="15"/>
  <c r="I139" i="15"/>
  <c r="H139" i="15"/>
  <c r="G139" i="15"/>
  <c r="F139" i="15"/>
  <c r="O95" i="15"/>
  <c r="N95" i="15"/>
  <c r="L95" i="15"/>
  <c r="K95" i="15"/>
  <c r="J95" i="15"/>
  <c r="I95" i="15"/>
  <c r="H95" i="15"/>
  <c r="G95" i="15"/>
  <c r="F95" i="15"/>
  <c r="O147" i="15"/>
  <c r="N147" i="15"/>
  <c r="L147" i="15"/>
  <c r="K147" i="15"/>
  <c r="J147" i="15"/>
  <c r="I147" i="15"/>
  <c r="H147" i="15"/>
  <c r="G147" i="15"/>
  <c r="F147" i="15"/>
  <c r="O40" i="1"/>
  <c r="N40" i="1"/>
  <c r="L40" i="1"/>
  <c r="K40" i="1"/>
  <c r="J40" i="1"/>
  <c r="I40" i="1"/>
  <c r="H40" i="1"/>
  <c r="G40" i="1"/>
  <c r="F40" i="1"/>
  <c r="O38" i="1"/>
  <c r="N38" i="1"/>
  <c r="L38" i="1"/>
  <c r="K38" i="1"/>
  <c r="J38" i="1"/>
  <c r="I38" i="1"/>
  <c r="H38" i="1"/>
  <c r="G38" i="1"/>
  <c r="F38" i="1"/>
  <c r="O51" i="1"/>
  <c r="N51" i="1"/>
  <c r="L51" i="1"/>
  <c r="K51" i="1"/>
  <c r="J51" i="1"/>
  <c r="I51" i="1"/>
  <c r="H51" i="1"/>
  <c r="G51" i="1"/>
  <c r="F51" i="1"/>
  <c r="O33" i="1"/>
  <c r="N33" i="1"/>
  <c r="L33" i="1"/>
  <c r="K33" i="1"/>
  <c r="J33" i="1"/>
  <c r="I33" i="1"/>
  <c r="H33" i="1"/>
  <c r="G33" i="1"/>
  <c r="F33" i="1"/>
  <c r="Q51" i="1" l="1"/>
  <c r="Q40" i="1"/>
  <c r="Q95" i="15"/>
  <c r="Q33" i="1"/>
  <c r="Q38" i="1"/>
  <c r="Q147" i="15"/>
  <c r="Q139" i="15"/>
  <c r="Q137" i="15"/>
  <c r="R147" i="15"/>
  <c r="R95" i="15"/>
  <c r="R139" i="15"/>
  <c r="R137" i="15"/>
  <c r="P147" i="15"/>
  <c r="P95" i="15"/>
  <c r="P139" i="15"/>
  <c r="P137" i="15"/>
  <c r="R33" i="1"/>
  <c r="R51" i="1"/>
  <c r="R38" i="1"/>
  <c r="R40" i="1"/>
  <c r="P33" i="1"/>
  <c r="P51" i="1"/>
  <c r="P38" i="1"/>
  <c r="P40" i="1"/>
  <c r="S38" i="1" l="1"/>
  <c r="S137" i="15"/>
  <c r="S139" i="15"/>
  <c r="S147" i="15"/>
  <c r="S95" i="15"/>
  <c r="S40" i="1"/>
  <c r="S51" i="1"/>
  <c r="S33" i="1"/>
  <c r="A27" i="7" l="1"/>
  <c r="E27" i="7"/>
  <c r="F27" i="7"/>
  <c r="E2" i="7"/>
  <c r="F2" i="7"/>
  <c r="E3" i="7"/>
  <c r="F3" i="7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8" i="7"/>
  <c r="F28" i="7"/>
  <c r="E29" i="7"/>
  <c r="F29" i="7"/>
  <c r="B27" i="7"/>
  <c r="H27" i="7"/>
  <c r="I27" i="7"/>
  <c r="K46" i="8"/>
  <c r="D2" i="8"/>
  <c r="F2" i="8"/>
  <c r="D3" i="8"/>
  <c r="F3" i="8"/>
  <c r="D4" i="8"/>
  <c r="F4" i="8"/>
  <c r="D5" i="8"/>
  <c r="F5" i="8"/>
  <c r="D6" i="8"/>
  <c r="F6" i="8"/>
  <c r="D7" i="8"/>
  <c r="F7" i="8"/>
  <c r="D8" i="8"/>
  <c r="F8" i="8"/>
  <c r="D9" i="8"/>
  <c r="F9" i="8"/>
  <c r="D10" i="8"/>
  <c r="F10" i="8"/>
  <c r="D11" i="8"/>
  <c r="F11" i="8"/>
  <c r="D12" i="8"/>
  <c r="F12" i="8"/>
  <c r="D13" i="8"/>
  <c r="F13" i="8"/>
  <c r="D14" i="8"/>
  <c r="F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25" i="8"/>
  <c r="F25" i="8"/>
  <c r="D26" i="8"/>
  <c r="F26" i="8"/>
  <c r="D27" i="8"/>
  <c r="F27" i="8"/>
  <c r="D28" i="8"/>
  <c r="F28" i="8"/>
  <c r="D29" i="8"/>
  <c r="F29" i="8"/>
  <c r="D30" i="8"/>
  <c r="F30" i="8"/>
  <c r="D31" i="8"/>
  <c r="F31" i="8"/>
  <c r="D32" i="8"/>
  <c r="F32" i="8"/>
  <c r="D33" i="8"/>
  <c r="F33" i="8"/>
  <c r="D34" i="8"/>
  <c r="F34" i="8"/>
  <c r="D35" i="8"/>
  <c r="F35" i="8"/>
  <c r="D36" i="8"/>
  <c r="F36" i="8"/>
  <c r="D37" i="8"/>
  <c r="F37" i="8"/>
  <c r="D38" i="8"/>
  <c r="F38" i="8"/>
  <c r="D39" i="8"/>
  <c r="F39" i="8"/>
  <c r="F42" i="1"/>
  <c r="G42" i="1"/>
  <c r="H42" i="1"/>
  <c r="I42" i="1"/>
  <c r="J42" i="1"/>
  <c r="K42" i="1"/>
  <c r="L42" i="1"/>
  <c r="N42" i="1"/>
  <c r="O42" i="1"/>
  <c r="F12" i="1"/>
  <c r="G12" i="1"/>
  <c r="H12" i="1"/>
  <c r="H24" i="8"/>
  <c r="I24" i="8"/>
  <c r="H27" i="8"/>
  <c r="I27" i="8"/>
  <c r="H29" i="8"/>
  <c r="I29" i="8"/>
  <c r="H36" i="8"/>
  <c r="I36" i="8"/>
  <c r="H16" i="8"/>
  <c r="I16" i="8"/>
  <c r="H31" i="8"/>
  <c r="I31" i="8"/>
  <c r="H21" i="8"/>
  <c r="I21" i="8"/>
  <c r="H35" i="8"/>
  <c r="I35" i="8"/>
  <c r="H26" i="8"/>
  <c r="I26" i="8"/>
  <c r="H19" i="8"/>
  <c r="I19" i="8"/>
  <c r="H39" i="8"/>
  <c r="I39" i="8"/>
  <c r="H20" i="8"/>
  <c r="I20" i="8"/>
  <c r="H14" i="8"/>
  <c r="I14" i="8"/>
  <c r="H32" i="8"/>
  <c r="I32" i="8"/>
  <c r="H8" i="8"/>
  <c r="I8" i="8"/>
  <c r="H28" i="8"/>
  <c r="I28" i="8"/>
  <c r="H33" i="8"/>
  <c r="I33" i="8"/>
  <c r="H2" i="8"/>
  <c r="I2" i="8"/>
  <c r="H15" i="8"/>
  <c r="I15" i="8"/>
  <c r="H17" i="8"/>
  <c r="I17" i="8"/>
  <c r="H22" i="8"/>
  <c r="I22" i="8"/>
  <c r="H7" i="8"/>
  <c r="I7" i="8"/>
  <c r="H34" i="8"/>
  <c r="I34" i="8"/>
  <c r="H5" i="8"/>
  <c r="I5" i="8"/>
  <c r="H25" i="8"/>
  <c r="I25" i="8"/>
  <c r="H30" i="8"/>
  <c r="I30" i="8"/>
  <c r="H10" i="8"/>
  <c r="I10" i="8"/>
  <c r="H18" i="8"/>
  <c r="I18" i="8"/>
  <c r="H38" i="8"/>
  <c r="I38" i="8"/>
  <c r="H3" i="8"/>
  <c r="I3" i="8"/>
  <c r="H12" i="8"/>
  <c r="I12" i="8"/>
  <c r="H4" i="8"/>
  <c r="I4" i="8"/>
  <c r="H37" i="8"/>
  <c r="I37" i="8"/>
  <c r="H11" i="8"/>
  <c r="I11" i="8"/>
  <c r="H13" i="8"/>
  <c r="I13" i="8"/>
  <c r="H23" i="8"/>
  <c r="I23" i="8"/>
  <c r="H9" i="8"/>
  <c r="I9" i="8"/>
  <c r="H6" i="8"/>
  <c r="I6" i="8"/>
  <c r="A24" i="8"/>
  <c r="K24" i="8"/>
  <c r="I12" i="1"/>
  <c r="A26" i="7"/>
  <c r="I26" i="7"/>
  <c r="J12" i="1"/>
  <c r="L12" i="1"/>
  <c r="N12" i="1"/>
  <c r="O12" i="1"/>
  <c r="K43" i="8"/>
  <c r="I5" i="1"/>
  <c r="F5" i="1"/>
  <c r="G5" i="1"/>
  <c r="H5" i="1"/>
  <c r="A10" i="7"/>
  <c r="I10" i="7"/>
  <c r="J5" i="1"/>
  <c r="O5" i="1"/>
  <c r="A34" i="8"/>
  <c r="K34" i="8"/>
  <c r="I10" i="1"/>
  <c r="F10" i="1"/>
  <c r="G10" i="1"/>
  <c r="H10" i="1"/>
  <c r="J10" i="1"/>
  <c r="K10" i="1"/>
  <c r="L10" i="1"/>
  <c r="N10" i="1"/>
  <c r="O10" i="1"/>
  <c r="I8" i="1"/>
  <c r="F8" i="1"/>
  <c r="G8" i="1"/>
  <c r="H8" i="1"/>
  <c r="A29" i="7"/>
  <c r="I29" i="7"/>
  <c r="J8" i="1"/>
  <c r="K8" i="1"/>
  <c r="L8" i="1"/>
  <c r="N8" i="1"/>
  <c r="O8" i="1"/>
  <c r="A21" i="8"/>
  <c r="K21" i="8"/>
  <c r="I7" i="1"/>
  <c r="F7" i="1"/>
  <c r="G7" i="1"/>
  <c r="H7" i="1"/>
  <c r="J7" i="1"/>
  <c r="N7" i="1"/>
  <c r="O7" i="1"/>
  <c r="K44" i="8"/>
  <c r="I6" i="1"/>
  <c r="F6" i="1"/>
  <c r="G6" i="1"/>
  <c r="H6" i="1"/>
  <c r="A13" i="7"/>
  <c r="I13" i="7"/>
  <c r="J6" i="1"/>
  <c r="L6" i="1"/>
  <c r="N6" i="1"/>
  <c r="O6" i="1"/>
  <c r="I11" i="1"/>
  <c r="F11" i="1"/>
  <c r="G11" i="1"/>
  <c r="H11" i="1"/>
  <c r="A19" i="7"/>
  <c r="I19" i="7"/>
  <c r="J11" i="1"/>
  <c r="K11" i="1"/>
  <c r="L11" i="1"/>
  <c r="N11" i="1"/>
  <c r="O11" i="1"/>
  <c r="I9" i="1"/>
  <c r="F9" i="1"/>
  <c r="G9" i="1"/>
  <c r="H9" i="1"/>
  <c r="A9" i="7"/>
  <c r="I9" i="7"/>
  <c r="J9" i="1"/>
  <c r="L9" i="1"/>
  <c r="N9" i="1"/>
  <c r="O9" i="1"/>
  <c r="I13" i="1"/>
  <c r="F13" i="1"/>
  <c r="G13" i="1"/>
  <c r="H13" i="1"/>
  <c r="J13" i="1"/>
  <c r="K13" i="1"/>
  <c r="L13" i="1"/>
  <c r="N13" i="1"/>
  <c r="O13" i="1"/>
  <c r="I16" i="1"/>
  <c r="F16" i="1"/>
  <c r="G16" i="1"/>
  <c r="H16" i="1"/>
  <c r="J16" i="1"/>
  <c r="K16" i="1"/>
  <c r="L16" i="1"/>
  <c r="N16" i="1"/>
  <c r="O16" i="1"/>
  <c r="I14" i="1"/>
  <c r="F14" i="1"/>
  <c r="G14" i="1"/>
  <c r="H14" i="1"/>
  <c r="J14" i="1"/>
  <c r="O14" i="1"/>
  <c r="I22" i="1"/>
  <c r="F22" i="1"/>
  <c r="G22" i="1"/>
  <c r="H22" i="1"/>
  <c r="J22" i="1"/>
  <c r="K22" i="1"/>
  <c r="N22" i="1"/>
  <c r="O22" i="1"/>
  <c r="I21" i="1"/>
  <c r="F21" i="1"/>
  <c r="G21" i="1"/>
  <c r="H21" i="1"/>
  <c r="J21" i="1"/>
  <c r="K21" i="1"/>
  <c r="L21" i="1"/>
  <c r="N21" i="1"/>
  <c r="O21" i="1"/>
  <c r="I27" i="1"/>
  <c r="F27" i="1"/>
  <c r="G27" i="1"/>
  <c r="H27" i="1"/>
  <c r="J27" i="1"/>
  <c r="K27" i="1"/>
  <c r="L27" i="1"/>
  <c r="N27" i="1"/>
  <c r="O27" i="1"/>
  <c r="I34" i="1"/>
  <c r="F34" i="1"/>
  <c r="G34" i="1"/>
  <c r="H34" i="1"/>
  <c r="J34" i="1"/>
  <c r="K34" i="1"/>
  <c r="L34" i="1"/>
  <c r="N34" i="1"/>
  <c r="O34" i="1"/>
  <c r="I17" i="1"/>
  <c r="F17" i="1"/>
  <c r="G17" i="1"/>
  <c r="H17" i="1"/>
  <c r="J17" i="1"/>
  <c r="K17" i="1"/>
  <c r="N17" i="1"/>
  <c r="O17" i="1"/>
  <c r="I31" i="1"/>
  <c r="F31" i="1"/>
  <c r="G31" i="1"/>
  <c r="H31" i="1"/>
  <c r="J31" i="1"/>
  <c r="L31" i="1"/>
  <c r="N31" i="1"/>
  <c r="O31" i="1"/>
  <c r="I35" i="1"/>
  <c r="F35" i="1"/>
  <c r="G35" i="1"/>
  <c r="H35" i="1"/>
  <c r="J35" i="1"/>
  <c r="K35" i="1"/>
  <c r="L35" i="1"/>
  <c r="N35" i="1"/>
  <c r="O35" i="1"/>
  <c r="I36" i="1"/>
  <c r="F36" i="1"/>
  <c r="G36" i="1"/>
  <c r="H36" i="1"/>
  <c r="J36" i="1"/>
  <c r="K36" i="1"/>
  <c r="L36" i="1"/>
  <c r="N36" i="1"/>
  <c r="O36" i="1"/>
  <c r="I37" i="1"/>
  <c r="F37" i="1"/>
  <c r="G37" i="1"/>
  <c r="H37" i="1"/>
  <c r="J37" i="1"/>
  <c r="K37" i="1"/>
  <c r="L37" i="1"/>
  <c r="N37" i="1"/>
  <c r="O37" i="1"/>
  <c r="I39" i="1"/>
  <c r="F39" i="1"/>
  <c r="G39" i="1"/>
  <c r="H39" i="1"/>
  <c r="J39" i="1"/>
  <c r="K39" i="1"/>
  <c r="L39" i="1"/>
  <c r="N39" i="1"/>
  <c r="O39" i="1"/>
  <c r="I26" i="1"/>
  <c r="F26" i="1"/>
  <c r="G26" i="1"/>
  <c r="H26" i="1"/>
  <c r="J26" i="1"/>
  <c r="K26" i="1"/>
  <c r="N26" i="1"/>
  <c r="O26" i="1"/>
  <c r="I20" i="1"/>
  <c r="F20" i="1"/>
  <c r="G20" i="1"/>
  <c r="H20" i="1"/>
  <c r="J20" i="1"/>
  <c r="K20" i="1"/>
  <c r="L20" i="1"/>
  <c r="N20" i="1"/>
  <c r="O20" i="1"/>
  <c r="I41" i="1"/>
  <c r="F41" i="1"/>
  <c r="G41" i="1"/>
  <c r="H41" i="1"/>
  <c r="J41" i="1"/>
  <c r="K41" i="1"/>
  <c r="L41" i="1"/>
  <c r="N41" i="1"/>
  <c r="O41" i="1"/>
  <c r="I43" i="1"/>
  <c r="F43" i="1"/>
  <c r="G43" i="1"/>
  <c r="H43" i="1"/>
  <c r="J43" i="1"/>
  <c r="K43" i="1"/>
  <c r="L43" i="1"/>
  <c r="N43" i="1"/>
  <c r="O43" i="1"/>
  <c r="I18" i="1"/>
  <c r="F18" i="1"/>
  <c r="G18" i="1"/>
  <c r="H18" i="1"/>
  <c r="J18" i="1"/>
  <c r="K18" i="1"/>
  <c r="N18" i="1"/>
  <c r="O18" i="1"/>
  <c r="I25" i="1"/>
  <c r="F25" i="1"/>
  <c r="G25" i="1"/>
  <c r="H25" i="1"/>
  <c r="J25" i="1"/>
  <c r="K25" i="1"/>
  <c r="L25" i="1"/>
  <c r="N25" i="1"/>
  <c r="O25" i="1"/>
  <c r="I44" i="1"/>
  <c r="F44" i="1"/>
  <c r="G44" i="1"/>
  <c r="H44" i="1"/>
  <c r="J44" i="1"/>
  <c r="K44" i="1"/>
  <c r="L44" i="1"/>
  <c r="N44" i="1"/>
  <c r="O44" i="1"/>
  <c r="I45" i="1"/>
  <c r="F45" i="1"/>
  <c r="G45" i="1"/>
  <c r="H45" i="1"/>
  <c r="J45" i="1"/>
  <c r="K45" i="1"/>
  <c r="L45" i="1"/>
  <c r="N45" i="1"/>
  <c r="O45" i="1"/>
  <c r="I30" i="1"/>
  <c r="F30" i="1"/>
  <c r="G30" i="1"/>
  <c r="H30" i="1"/>
  <c r="J30" i="1"/>
  <c r="K30" i="1"/>
  <c r="L30" i="1"/>
  <c r="N30" i="1"/>
  <c r="O30" i="1"/>
  <c r="I46" i="1"/>
  <c r="F46" i="1"/>
  <c r="G46" i="1"/>
  <c r="H46" i="1"/>
  <c r="J46" i="1"/>
  <c r="K46" i="1"/>
  <c r="L46" i="1"/>
  <c r="N46" i="1"/>
  <c r="O46" i="1"/>
  <c r="A36" i="8"/>
  <c r="K36" i="8"/>
  <c r="I15" i="1"/>
  <c r="F15" i="1"/>
  <c r="G15" i="1"/>
  <c r="H15" i="1"/>
  <c r="A15" i="7"/>
  <c r="I15" i="7"/>
  <c r="J15" i="1"/>
  <c r="O15" i="1"/>
  <c r="I28" i="1"/>
  <c r="F28" i="1"/>
  <c r="G28" i="1"/>
  <c r="H28" i="1"/>
  <c r="J28" i="1"/>
  <c r="K28" i="1"/>
  <c r="L28" i="1"/>
  <c r="N28" i="1"/>
  <c r="O28" i="1"/>
  <c r="I29" i="1"/>
  <c r="F29" i="1"/>
  <c r="G29" i="1"/>
  <c r="H29" i="1"/>
  <c r="J29" i="1"/>
  <c r="K29" i="1"/>
  <c r="L29" i="1"/>
  <c r="N29" i="1"/>
  <c r="O29" i="1"/>
  <c r="I19" i="1"/>
  <c r="F19" i="1"/>
  <c r="G19" i="1"/>
  <c r="H19" i="1"/>
  <c r="J19" i="1"/>
  <c r="K19" i="1"/>
  <c r="N19" i="1"/>
  <c r="O19" i="1"/>
  <c r="I48" i="1"/>
  <c r="F48" i="1"/>
  <c r="G48" i="1"/>
  <c r="H48" i="1"/>
  <c r="J48" i="1"/>
  <c r="K48" i="1"/>
  <c r="L48" i="1"/>
  <c r="N48" i="1"/>
  <c r="O48" i="1"/>
  <c r="I49" i="1"/>
  <c r="F49" i="1"/>
  <c r="G49" i="1"/>
  <c r="H49" i="1"/>
  <c r="J49" i="1"/>
  <c r="K49" i="1"/>
  <c r="L49" i="1"/>
  <c r="N49" i="1"/>
  <c r="O49" i="1"/>
  <c r="I50" i="1"/>
  <c r="F50" i="1"/>
  <c r="G50" i="1"/>
  <c r="H50" i="1"/>
  <c r="J50" i="1"/>
  <c r="K50" i="1"/>
  <c r="L50" i="1"/>
  <c r="N50" i="1"/>
  <c r="O50" i="1"/>
  <c r="I24" i="1"/>
  <c r="F24" i="1"/>
  <c r="G24" i="1"/>
  <c r="H24" i="1"/>
  <c r="J24" i="1"/>
  <c r="K24" i="1"/>
  <c r="L24" i="1"/>
  <c r="N24" i="1"/>
  <c r="O24" i="1"/>
  <c r="I52" i="1"/>
  <c r="F52" i="1"/>
  <c r="G52" i="1"/>
  <c r="H52" i="1"/>
  <c r="J52" i="1"/>
  <c r="K52" i="1"/>
  <c r="L52" i="1"/>
  <c r="N52" i="1"/>
  <c r="O52" i="1"/>
  <c r="I32" i="1"/>
  <c r="F32" i="1"/>
  <c r="G32" i="1"/>
  <c r="H32" i="1"/>
  <c r="J32" i="1"/>
  <c r="K32" i="1"/>
  <c r="L32" i="1"/>
  <c r="N32" i="1"/>
  <c r="O32" i="1"/>
  <c r="I53" i="1"/>
  <c r="F53" i="1"/>
  <c r="G53" i="1"/>
  <c r="H53" i="1"/>
  <c r="J53" i="1"/>
  <c r="K53" i="1"/>
  <c r="L53" i="1"/>
  <c r="N53" i="1"/>
  <c r="O53" i="1"/>
  <c r="I54" i="1"/>
  <c r="F54" i="1"/>
  <c r="G54" i="1"/>
  <c r="H54" i="1"/>
  <c r="J54" i="1"/>
  <c r="K54" i="1"/>
  <c r="L54" i="1"/>
  <c r="N54" i="1"/>
  <c r="O54" i="1"/>
  <c r="I55" i="1"/>
  <c r="F55" i="1"/>
  <c r="G55" i="1"/>
  <c r="H55" i="1"/>
  <c r="J55" i="1"/>
  <c r="K55" i="1"/>
  <c r="L55" i="1"/>
  <c r="N55" i="1"/>
  <c r="O55" i="1"/>
  <c r="I56" i="1"/>
  <c r="F56" i="1"/>
  <c r="G56" i="1"/>
  <c r="H56" i="1"/>
  <c r="J56" i="1"/>
  <c r="K56" i="1"/>
  <c r="L56" i="1"/>
  <c r="N56" i="1"/>
  <c r="O56" i="1"/>
  <c r="A27" i="8"/>
  <c r="K27" i="8"/>
  <c r="I23" i="1"/>
  <c r="F23" i="1"/>
  <c r="G23" i="1"/>
  <c r="H23" i="1"/>
  <c r="J23" i="1"/>
  <c r="K23" i="1"/>
  <c r="L23" i="1"/>
  <c r="N23" i="1"/>
  <c r="O23" i="1"/>
  <c r="F143" i="15"/>
  <c r="G143" i="15"/>
  <c r="H143" i="15"/>
  <c r="I143" i="15"/>
  <c r="J143" i="15"/>
  <c r="K143" i="15"/>
  <c r="L143" i="15"/>
  <c r="N143" i="15"/>
  <c r="O143" i="15"/>
  <c r="F136" i="15"/>
  <c r="G136" i="15"/>
  <c r="H136" i="15"/>
  <c r="I136" i="15"/>
  <c r="J136" i="15"/>
  <c r="K136" i="15"/>
  <c r="L136" i="15"/>
  <c r="N136" i="15"/>
  <c r="O136" i="15"/>
  <c r="F187" i="15"/>
  <c r="G187" i="15"/>
  <c r="H187" i="15"/>
  <c r="I187" i="15"/>
  <c r="J187" i="15"/>
  <c r="K187" i="15"/>
  <c r="L187" i="15"/>
  <c r="N187" i="15"/>
  <c r="O187" i="15"/>
  <c r="F121" i="15"/>
  <c r="G121" i="15"/>
  <c r="H121" i="15"/>
  <c r="I121" i="15"/>
  <c r="A17" i="7"/>
  <c r="I17" i="7"/>
  <c r="J121" i="15"/>
  <c r="K121" i="15"/>
  <c r="L121" i="15"/>
  <c r="N121" i="15"/>
  <c r="O121" i="15"/>
  <c r="F34" i="15"/>
  <c r="G34" i="15"/>
  <c r="H34" i="15"/>
  <c r="A2" i="8"/>
  <c r="K2" i="8"/>
  <c r="I34" i="15"/>
  <c r="A16" i="7"/>
  <c r="I16" i="7"/>
  <c r="J34" i="15"/>
  <c r="L34" i="15"/>
  <c r="O34" i="15"/>
  <c r="F216" i="15"/>
  <c r="G216" i="15"/>
  <c r="H216" i="15"/>
  <c r="I216" i="15"/>
  <c r="J216" i="15"/>
  <c r="K216" i="15"/>
  <c r="L216" i="15"/>
  <c r="N216" i="15"/>
  <c r="O216" i="15"/>
  <c r="A13" i="8"/>
  <c r="K13" i="8"/>
  <c r="I5" i="15"/>
  <c r="F5" i="15"/>
  <c r="G5" i="15"/>
  <c r="H5" i="15"/>
  <c r="A3" i="7"/>
  <c r="I3" i="7"/>
  <c r="J5" i="15"/>
  <c r="N5" i="15"/>
  <c r="O5" i="15"/>
  <c r="A38" i="8"/>
  <c r="K38" i="8"/>
  <c r="I7" i="15"/>
  <c r="F7" i="15"/>
  <c r="G7" i="15"/>
  <c r="H7" i="15"/>
  <c r="J7" i="15"/>
  <c r="N7" i="15"/>
  <c r="O7" i="15"/>
  <c r="A37" i="8"/>
  <c r="K37" i="8"/>
  <c r="I11" i="15"/>
  <c r="F11" i="15"/>
  <c r="G11" i="15"/>
  <c r="H11" i="15"/>
  <c r="A21" i="7"/>
  <c r="I21" i="7"/>
  <c r="J11" i="15"/>
  <c r="N11" i="15"/>
  <c r="O11" i="15"/>
  <c r="A12" i="8"/>
  <c r="K12" i="8"/>
  <c r="I8" i="15"/>
  <c r="F8" i="15"/>
  <c r="G8" i="15"/>
  <c r="H8" i="15"/>
  <c r="A5" i="7"/>
  <c r="I5" i="7"/>
  <c r="J8" i="15"/>
  <c r="K8" i="15"/>
  <c r="L8" i="15"/>
  <c r="N8" i="15"/>
  <c r="O8" i="15"/>
  <c r="I17" i="15"/>
  <c r="F17" i="15"/>
  <c r="G17" i="15"/>
  <c r="H17" i="15"/>
  <c r="J17" i="15"/>
  <c r="K17" i="15"/>
  <c r="L17" i="15"/>
  <c r="O17" i="15"/>
  <c r="I29" i="15"/>
  <c r="F29" i="15"/>
  <c r="G29" i="15"/>
  <c r="H29" i="15"/>
  <c r="J29" i="15"/>
  <c r="N29" i="15"/>
  <c r="O29" i="15"/>
  <c r="K45" i="8"/>
  <c r="I6" i="15"/>
  <c r="F6" i="15"/>
  <c r="G6" i="15"/>
  <c r="H6" i="15"/>
  <c r="J6" i="15"/>
  <c r="N6" i="15"/>
  <c r="O6" i="15"/>
  <c r="I32" i="15"/>
  <c r="F32" i="15"/>
  <c r="G32" i="15"/>
  <c r="H32" i="15"/>
  <c r="J32" i="15"/>
  <c r="K32" i="15"/>
  <c r="L32" i="15"/>
  <c r="N32" i="15"/>
  <c r="O32" i="15"/>
  <c r="A31" i="8"/>
  <c r="K31" i="8"/>
  <c r="I19" i="15"/>
  <c r="F19" i="15"/>
  <c r="G19" i="15"/>
  <c r="H19" i="15"/>
  <c r="A18" i="7"/>
  <c r="I18" i="7"/>
  <c r="J19" i="15"/>
  <c r="L19" i="15"/>
  <c r="O19" i="15"/>
  <c r="A14" i="8"/>
  <c r="K14" i="8"/>
  <c r="I23" i="15"/>
  <c r="F23" i="15"/>
  <c r="G23" i="15"/>
  <c r="H23" i="15"/>
  <c r="J23" i="15"/>
  <c r="K23" i="15"/>
  <c r="O23" i="15"/>
  <c r="A35" i="8"/>
  <c r="K35" i="8"/>
  <c r="I28" i="15"/>
  <c r="F28" i="15"/>
  <c r="G28" i="15"/>
  <c r="H28" i="15"/>
  <c r="J28" i="15"/>
  <c r="L28" i="15"/>
  <c r="N28" i="15"/>
  <c r="O28" i="15"/>
  <c r="A19" i="8"/>
  <c r="K19" i="8"/>
  <c r="I25" i="15"/>
  <c r="F25" i="15"/>
  <c r="G25" i="15"/>
  <c r="H25" i="15"/>
  <c r="J25" i="15"/>
  <c r="N25" i="15"/>
  <c r="O25" i="15"/>
  <c r="A22" i="8"/>
  <c r="K22" i="8"/>
  <c r="I44" i="15"/>
  <c r="F44" i="15"/>
  <c r="G44" i="15"/>
  <c r="H44" i="15"/>
  <c r="J44" i="15"/>
  <c r="K44" i="15"/>
  <c r="L44" i="15"/>
  <c r="N44" i="15"/>
  <c r="O44" i="15"/>
  <c r="A33" i="8"/>
  <c r="K33" i="8"/>
  <c r="I30" i="15"/>
  <c r="F30" i="15"/>
  <c r="G30" i="15"/>
  <c r="H30" i="15"/>
  <c r="J30" i="15"/>
  <c r="K30" i="15"/>
  <c r="N30" i="15"/>
  <c r="O30" i="15"/>
  <c r="A8" i="8"/>
  <c r="K8" i="8"/>
  <c r="I24" i="15"/>
  <c r="F24" i="15"/>
  <c r="G24" i="15"/>
  <c r="H24" i="15"/>
  <c r="A12" i="7"/>
  <c r="I12" i="7"/>
  <c r="J24" i="15"/>
  <c r="K24" i="15"/>
  <c r="L24" i="15"/>
  <c r="N24" i="15"/>
  <c r="O24" i="15"/>
  <c r="A10" i="8"/>
  <c r="K10" i="8"/>
  <c r="I16" i="15"/>
  <c r="F16" i="15"/>
  <c r="G16" i="15"/>
  <c r="H16" i="15"/>
  <c r="J16" i="15"/>
  <c r="K16" i="15"/>
  <c r="L16" i="15"/>
  <c r="O16" i="15"/>
  <c r="I39" i="15"/>
  <c r="F39" i="15"/>
  <c r="G39" i="15"/>
  <c r="H39" i="15"/>
  <c r="J39" i="15"/>
  <c r="K39" i="15"/>
  <c r="L39" i="15"/>
  <c r="N39" i="15"/>
  <c r="O39" i="15"/>
  <c r="A25" i="8"/>
  <c r="K25" i="8"/>
  <c r="I27" i="15"/>
  <c r="F27" i="15"/>
  <c r="G27" i="15"/>
  <c r="H27" i="15"/>
  <c r="J27" i="15"/>
  <c r="N27" i="15"/>
  <c r="O27" i="15"/>
  <c r="A29" i="8"/>
  <c r="K29" i="8"/>
  <c r="I48" i="15"/>
  <c r="F48" i="15"/>
  <c r="G48" i="15"/>
  <c r="H48" i="15"/>
  <c r="A25" i="7"/>
  <c r="I25" i="7"/>
  <c r="J48" i="15"/>
  <c r="K48" i="15"/>
  <c r="L48" i="15"/>
  <c r="N48" i="15"/>
  <c r="O48" i="15"/>
  <c r="A6" i="8"/>
  <c r="K6" i="8"/>
  <c r="I9" i="15"/>
  <c r="F9" i="15"/>
  <c r="G9" i="15"/>
  <c r="H9" i="15"/>
  <c r="J9" i="15"/>
  <c r="K9" i="15"/>
  <c r="N9" i="15"/>
  <c r="O9" i="15"/>
  <c r="I14" i="15"/>
  <c r="F14" i="15"/>
  <c r="G14" i="15"/>
  <c r="H14" i="15"/>
  <c r="A6" i="7"/>
  <c r="I6" i="7"/>
  <c r="J14" i="15"/>
  <c r="O14" i="15"/>
  <c r="A9" i="8"/>
  <c r="K9" i="8"/>
  <c r="I10" i="15"/>
  <c r="F10" i="15"/>
  <c r="G10" i="15"/>
  <c r="H10" i="15"/>
  <c r="J10" i="15"/>
  <c r="N10" i="15"/>
  <c r="O10" i="15"/>
  <c r="A15" i="8"/>
  <c r="K15" i="8"/>
  <c r="I20" i="15"/>
  <c r="F20" i="15"/>
  <c r="G20" i="15"/>
  <c r="H20" i="15"/>
  <c r="J20" i="15"/>
  <c r="L20" i="15"/>
  <c r="O20" i="15"/>
  <c r="A7" i="8"/>
  <c r="K7" i="8"/>
  <c r="I26" i="15"/>
  <c r="F26" i="15"/>
  <c r="G26" i="15"/>
  <c r="H26" i="15"/>
  <c r="J26" i="15"/>
  <c r="L26" i="15"/>
  <c r="N26" i="15"/>
  <c r="O26" i="15"/>
  <c r="A39" i="8"/>
  <c r="K39" i="8"/>
  <c r="I21" i="15"/>
  <c r="F21" i="15"/>
  <c r="G21" i="15"/>
  <c r="H21" i="15"/>
  <c r="A2" i="7"/>
  <c r="I2" i="7"/>
  <c r="J21" i="15"/>
  <c r="O21" i="15"/>
  <c r="I73" i="15"/>
  <c r="F73" i="15"/>
  <c r="G73" i="15"/>
  <c r="H73" i="15"/>
  <c r="J73" i="15"/>
  <c r="K73" i="15"/>
  <c r="L73" i="15"/>
  <c r="N73" i="15"/>
  <c r="O73" i="15"/>
  <c r="I67" i="15"/>
  <c r="F67" i="15"/>
  <c r="G67" i="15"/>
  <c r="H67" i="15"/>
  <c r="J67" i="15"/>
  <c r="K67" i="15"/>
  <c r="L67" i="15"/>
  <c r="N67" i="15"/>
  <c r="O67" i="15"/>
  <c r="I80" i="15"/>
  <c r="F80" i="15"/>
  <c r="G80" i="15"/>
  <c r="H80" i="15"/>
  <c r="J80" i="15"/>
  <c r="K80" i="15"/>
  <c r="L80" i="15"/>
  <c r="N80" i="15"/>
  <c r="O80" i="15"/>
  <c r="I81" i="15"/>
  <c r="F81" i="15"/>
  <c r="G81" i="15"/>
  <c r="H81" i="15"/>
  <c r="J81" i="15"/>
  <c r="K81" i="15"/>
  <c r="L81" i="15"/>
  <c r="N81" i="15"/>
  <c r="O81" i="15"/>
  <c r="I66" i="15"/>
  <c r="F66" i="15"/>
  <c r="G66" i="15"/>
  <c r="H66" i="15"/>
  <c r="J66" i="15"/>
  <c r="K66" i="15"/>
  <c r="L66" i="15"/>
  <c r="N66" i="15"/>
  <c r="O66" i="15"/>
  <c r="A18" i="8"/>
  <c r="K18" i="8"/>
  <c r="I13" i="15"/>
  <c r="F13" i="15"/>
  <c r="G13" i="15"/>
  <c r="H13" i="15"/>
  <c r="A24" i="7"/>
  <c r="I24" i="7"/>
  <c r="J13" i="15"/>
  <c r="L13" i="15"/>
  <c r="O13" i="15"/>
  <c r="I75" i="15"/>
  <c r="F75" i="15"/>
  <c r="G75" i="15"/>
  <c r="H75" i="15"/>
  <c r="J75" i="15"/>
  <c r="K75" i="15"/>
  <c r="L75" i="15"/>
  <c r="N75" i="15"/>
  <c r="O75" i="15"/>
  <c r="I54" i="15"/>
  <c r="F54" i="15"/>
  <c r="G54" i="15"/>
  <c r="H54" i="15"/>
  <c r="J54" i="15"/>
  <c r="K54" i="15"/>
  <c r="L54" i="15"/>
  <c r="N54" i="15"/>
  <c r="O54" i="15"/>
  <c r="A28" i="8"/>
  <c r="K28" i="8"/>
  <c r="I33" i="15"/>
  <c r="F33" i="15"/>
  <c r="G33" i="15"/>
  <c r="H33" i="15"/>
  <c r="A28" i="7"/>
  <c r="I28" i="7"/>
  <c r="J33" i="15"/>
  <c r="K33" i="15"/>
  <c r="L33" i="15"/>
  <c r="O33" i="15"/>
  <c r="I72" i="15"/>
  <c r="F72" i="15"/>
  <c r="G72" i="15"/>
  <c r="H72" i="15"/>
  <c r="J72" i="15"/>
  <c r="K72" i="15"/>
  <c r="L72" i="15"/>
  <c r="N72" i="15"/>
  <c r="O72" i="15"/>
  <c r="I50" i="15"/>
  <c r="F50" i="15"/>
  <c r="G50" i="15"/>
  <c r="H50" i="15"/>
  <c r="J50" i="15"/>
  <c r="K50" i="15"/>
  <c r="L50" i="15"/>
  <c r="N50" i="15"/>
  <c r="O50" i="15"/>
  <c r="I90" i="15"/>
  <c r="F90" i="15"/>
  <c r="G90" i="15"/>
  <c r="H90" i="15"/>
  <c r="J90" i="15"/>
  <c r="K90" i="15"/>
  <c r="L90" i="15"/>
  <c r="N90" i="15"/>
  <c r="O90" i="15"/>
  <c r="I45" i="15"/>
  <c r="F45" i="15"/>
  <c r="G45" i="15"/>
  <c r="H45" i="15"/>
  <c r="J45" i="15"/>
  <c r="K45" i="15"/>
  <c r="L45" i="15"/>
  <c r="N45" i="15"/>
  <c r="O45" i="15"/>
  <c r="I88" i="15"/>
  <c r="F88" i="15"/>
  <c r="G88" i="15"/>
  <c r="H88" i="15"/>
  <c r="J88" i="15"/>
  <c r="K88" i="15"/>
  <c r="L88" i="15"/>
  <c r="N88" i="15"/>
  <c r="O88" i="15"/>
  <c r="I58" i="15"/>
  <c r="F58" i="15"/>
  <c r="G58" i="15"/>
  <c r="H58" i="15"/>
  <c r="J58" i="15"/>
  <c r="K58" i="15"/>
  <c r="L58" i="15"/>
  <c r="N58" i="15"/>
  <c r="O58" i="15"/>
  <c r="I47" i="15"/>
  <c r="F47" i="15"/>
  <c r="G47" i="15"/>
  <c r="H47" i="15"/>
  <c r="J47" i="15"/>
  <c r="K47" i="15"/>
  <c r="L47" i="15"/>
  <c r="O47" i="15"/>
  <c r="A4" i="8"/>
  <c r="K4" i="8"/>
  <c r="I22" i="15"/>
  <c r="F22" i="15"/>
  <c r="G22" i="15"/>
  <c r="H22" i="15"/>
  <c r="J22" i="15"/>
  <c r="K22" i="15"/>
  <c r="L22" i="15"/>
  <c r="O22" i="15"/>
  <c r="I49" i="15"/>
  <c r="F49" i="15"/>
  <c r="G49" i="15"/>
  <c r="H49" i="15"/>
  <c r="J49" i="15"/>
  <c r="N49" i="15"/>
  <c r="O49" i="15"/>
  <c r="I61" i="15"/>
  <c r="F61" i="15"/>
  <c r="G61" i="15"/>
  <c r="H61" i="15"/>
  <c r="J61" i="15"/>
  <c r="K61" i="15"/>
  <c r="L61" i="15"/>
  <c r="N61" i="15"/>
  <c r="O61" i="15"/>
  <c r="I63" i="15"/>
  <c r="F63" i="15"/>
  <c r="G63" i="15"/>
  <c r="H63" i="15"/>
  <c r="J63" i="15"/>
  <c r="K63" i="15"/>
  <c r="L63" i="15"/>
  <c r="N63" i="15"/>
  <c r="O63" i="15"/>
  <c r="A11" i="8"/>
  <c r="K11" i="8"/>
  <c r="I18" i="15"/>
  <c r="F18" i="15"/>
  <c r="G18" i="15"/>
  <c r="H18" i="15"/>
  <c r="J18" i="15"/>
  <c r="N18" i="15"/>
  <c r="O18" i="15"/>
  <c r="I36" i="15"/>
  <c r="F36" i="15"/>
  <c r="G36" i="15"/>
  <c r="H36" i="15"/>
  <c r="A22" i="7"/>
  <c r="I22" i="7"/>
  <c r="J36" i="15"/>
  <c r="K36" i="15"/>
  <c r="L36" i="15"/>
  <c r="N36" i="15"/>
  <c r="O36" i="15"/>
  <c r="I74" i="15"/>
  <c r="F74" i="15"/>
  <c r="G74" i="15"/>
  <c r="H74" i="15"/>
  <c r="A20" i="7"/>
  <c r="I20" i="7"/>
  <c r="J74" i="15"/>
  <c r="K74" i="15"/>
  <c r="L74" i="15"/>
  <c r="N74" i="15"/>
  <c r="O74" i="15"/>
  <c r="I69" i="15"/>
  <c r="F69" i="15"/>
  <c r="G69" i="15"/>
  <c r="H69" i="15"/>
  <c r="A23" i="7"/>
  <c r="I23" i="7"/>
  <c r="J69" i="15"/>
  <c r="K69" i="15"/>
  <c r="L69" i="15"/>
  <c r="N69" i="15"/>
  <c r="O69" i="15"/>
  <c r="A20" i="8"/>
  <c r="K20" i="8"/>
  <c r="I46" i="15"/>
  <c r="F46" i="15"/>
  <c r="G46" i="15"/>
  <c r="H46" i="15"/>
  <c r="J46" i="15"/>
  <c r="L46" i="15"/>
  <c r="N46" i="15"/>
  <c r="O46" i="15"/>
  <c r="I41" i="15"/>
  <c r="F41" i="15"/>
  <c r="G41" i="15"/>
  <c r="H41" i="15"/>
  <c r="A7" i="7"/>
  <c r="I7" i="7"/>
  <c r="J41" i="15"/>
  <c r="L41" i="15"/>
  <c r="N41" i="15"/>
  <c r="O41" i="15"/>
  <c r="A32" i="8"/>
  <c r="K32" i="8"/>
  <c r="I79" i="15"/>
  <c r="F79" i="15"/>
  <c r="G79" i="15"/>
  <c r="H79" i="15"/>
  <c r="J79" i="15"/>
  <c r="K79" i="15"/>
  <c r="L79" i="15"/>
  <c r="N79" i="15"/>
  <c r="O79" i="15"/>
  <c r="I100" i="15"/>
  <c r="F100" i="15"/>
  <c r="G100" i="15"/>
  <c r="H100" i="15"/>
  <c r="J100" i="15"/>
  <c r="K100" i="15"/>
  <c r="L100" i="15"/>
  <c r="N100" i="15"/>
  <c r="O100" i="15"/>
  <c r="A30" i="8"/>
  <c r="K30" i="8"/>
  <c r="I68" i="15"/>
  <c r="F68" i="15"/>
  <c r="G68" i="15"/>
  <c r="H68" i="15"/>
  <c r="J68" i="15"/>
  <c r="L68" i="15"/>
  <c r="N68" i="15"/>
  <c r="O68" i="15"/>
  <c r="I43" i="15"/>
  <c r="F43" i="15"/>
  <c r="G43" i="15"/>
  <c r="H43" i="15"/>
  <c r="J43" i="15"/>
  <c r="K43" i="15"/>
  <c r="N43" i="15"/>
  <c r="O43" i="15"/>
  <c r="I37" i="15"/>
  <c r="F37" i="15"/>
  <c r="G37" i="15"/>
  <c r="H37" i="15"/>
  <c r="J37" i="15"/>
  <c r="K37" i="15"/>
  <c r="N37" i="15"/>
  <c r="O37" i="15"/>
  <c r="I42" i="15"/>
  <c r="F42" i="15"/>
  <c r="G42" i="15"/>
  <c r="H42" i="15"/>
  <c r="J42" i="15"/>
  <c r="K42" i="15"/>
  <c r="N42" i="15"/>
  <c r="O42" i="15"/>
  <c r="I31" i="15"/>
  <c r="F31" i="15"/>
  <c r="G31" i="15"/>
  <c r="H31" i="15"/>
  <c r="A14" i="7"/>
  <c r="I14" i="7"/>
  <c r="J31" i="15"/>
  <c r="L31" i="15"/>
  <c r="N31" i="15"/>
  <c r="O31" i="15"/>
  <c r="I56" i="15"/>
  <c r="F56" i="15"/>
  <c r="G56" i="15"/>
  <c r="H56" i="15"/>
  <c r="J56" i="15"/>
  <c r="K56" i="15"/>
  <c r="L56" i="15"/>
  <c r="N56" i="15"/>
  <c r="O56" i="15"/>
  <c r="I62" i="15"/>
  <c r="F62" i="15"/>
  <c r="G62" i="15"/>
  <c r="H62" i="15"/>
  <c r="J62" i="15"/>
  <c r="K62" i="15"/>
  <c r="N62" i="15"/>
  <c r="O62" i="15"/>
  <c r="I111" i="15"/>
  <c r="F111" i="15"/>
  <c r="G111" i="15"/>
  <c r="H111" i="15"/>
  <c r="J111" i="15"/>
  <c r="K111" i="15"/>
  <c r="L111" i="15"/>
  <c r="N111" i="15"/>
  <c r="O111" i="15"/>
  <c r="A26" i="8"/>
  <c r="K26" i="8"/>
  <c r="I35" i="15"/>
  <c r="F35" i="15"/>
  <c r="G35" i="15"/>
  <c r="H35" i="15"/>
  <c r="A8" i="7"/>
  <c r="I8" i="7"/>
  <c r="J35" i="15"/>
  <c r="L35" i="15"/>
  <c r="N35" i="15"/>
  <c r="O35" i="15"/>
  <c r="A23" i="8"/>
  <c r="K23" i="8"/>
  <c r="I87" i="15"/>
  <c r="F87" i="15"/>
  <c r="G87" i="15"/>
  <c r="H87" i="15"/>
  <c r="J87" i="15"/>
  <c r="K87" i="15"/>
  <c r="L87" i="15"/>
  <c r="N87" i="15"/>
  <c r="O87" i="15"/>
  <c r="A17" i="8"/>
  <c r="K17" i="8"/>
  <c r="I15" i="15"/>
  <c r="F15" i="15"/>
  <c r="G15" i="15"/>
  <c r="H15" i="15"/>
  <c r="A11" i="7"/>
  <c r="I11" i="7"/>
  <c r="J15" i="15"/>
  <c r="L15" i="15"/>
  <c r="O15" i="15"/>
  <c r="A5" i="8"/>
  <c r="K5" i="8"/>
  <c r="I12" i="15"/>
  <c r="F12" i="15"/>
  <c r="G12" i="15"/>
  <c r="H12" i="15"/>
  <c r="A4" i="7"/>
  <c r="I4" i="7"/>
  <c r="J12" i="15"/>
  <c r="N12" i="15"/>
  <c r="O12" i="15"/>
  <c r="I109" i="15"/>
  <c r="F109" i="15"/>
  <c r="G109" i="15"/>
  <c r="H109" i="15"/>
  <c r="J109" i="15"/>
  <c r="K109" i="15"/>
  <c r="L109" i="15"/>
  <c r="N109" i="15"/>
  <c r="O109" i="15"/>
  <c r="I144" i="15"/>
  <c r="F144" i="15"/>
  <c r="G144" i="15"/>
  <c r="H144" i="15"/>
  <c r="J144" i="15"/>
  <c r="K144" i="15"/>
  <c r="L144" i="15"/>
  <c r="N144" i="15"/>
  <c r="O144" i="15"/>
  <c r="I146" i="15"/>
  <c r="F146" i="15"/>
  <c r="G146" i="15"/>
  <c r="H146" i="15"/>
  <c r="J146" i="15"/>
  <c r="K146" i="15"/>
  <c r="L146" i="15"/>
  <c r="N146" i="15"/>
  <c r="O146" i="15"/>
  <c r="I102" i="15"/>
  <c r="F102" i="15"/>
  <c r="G102" i="15"/>
  <c r="H102" i="15"/>
  <c r="J102" i="15"/>
  <c r="K102" i="15"/>
  <c r="L102" i="15"/>
  <c r="N102" i="15"/>
  <c r="O102" i="15"/>
  <c r="I148" i="15"/>
  <c r="F148" i="15"/>
  <c r="G148" i="15"/>
  <c r="H148" i="15"/>
  <c r="J148" i="15"/>
  <c r="K148" i="15"/>
  <c r="L148" i="15"/>
  <c r="N148" i="15"/>
  <c r="O148" i="15"/>
  <c r="I122" i="15"/>
  <c r="F122" i="15"/>
  <c r="G122" i="15"/>
  <c r="H122" i="15"/>
  <c r="J122" i="15"/>
  <c r="K122" i="15"/>
  <c r="L122" i="15"/>
  <c r="N122" i="15"/>
  <c r="O122" i="15"/>
  <c r="I71" i="15"/>
  <c r="F71" i="15"/>
  <c r="G71" i="15"/>
  <c r="H71" i="15"/>
  <c r="J71" i="15"/>
  <c r="K71" i="15"/>
  <c r="N71" i="15"/>
  <c r="O71" i="15"/>
  <c r="I116" i="15"/>
  <c r="F116" i="15"/>
  <c r="G116" i="15"/>
  <c r="H116" i="15"/>
  <c r="J116" i="15"/>
  <c r="K116" i="15"/>
  <c r="N116" i="15"/>
  <c r="O116" i="15"/>
  <c r="I149" i="15"/>
  <c r="F149" i="15"/>
  <c r="G149" i="15"/>
  <c r="H149" i="15"/>
  <c r="J149" i="15"/>
  <c r="K149" i="15"/>
  <c r="L149" i="15"/>
  <c r="N149" i="15"/>
  <c r="O149" i="15"/>
  <c r="I150" i="15"/>
  <c r="F150" i="15"/>
  <c r="G150" i="15"/>
  <c r="H150" i="15"/>
  <c r="J150" i="15"/>
  <c r="K150" i="15"/>
  <c r="L150" i="15"/>
  <c r="N150" i="15"/>
  <c r="O150" i="15"/>
  <c r="I106" i="15"/>
  <c r="F106" i="15"/>
  <c r="G106" i="15"/>
  <c r="H106" i="15"/>
  <c r="J106" i="15"/>
  <c r="K106" i="15"/>
  <c r="N106" i="15"/>
  <c r="O106" i="15"/>
  <c r="I151" i="15"/>
  <c r="F151" i="15"/>
  <c r="G151" i="15"/>
  <c r="H151" i="15"/>
  <c r="J151" i="15"/>
  <c r="K151" i="15"/>
  <c r="L151" i="15"/>
  <c r="N151" i="15"/>
  <c r="O151" i="15"/>
  <c r="I133" i="15"/>
  <c r="F133" i="15"/>
  <c r="G133" i="15"/>
  <c r="H133" i="15"/>
  <c r="J133" i="15"/>
  <c r="K133" i="15"/>
  <c r="L133" i="15"/>
  <c r="N133" i="15"/>
  <c r="O133" i="15"/>
  <c r="I152" i="15"/>
  <c r="F152" i="15"/>
  <c r="G152" i="15"/>
  <c r="H152" i="15"/>
  <c r="J152" i="15"/>
  <c r="K152" i="15"/>
  <c r="L152" i="15"/>
  <c r="N152" i="15"/>
  <c r="O152" i="15"/>
  <c r="I101" i="15"/>
  <c r="F101" i="15"/>
  <c r="G101" i="15"/>
  <c r="H101" i="15"/>
  <c r="J101" i="15"/>
  <c r="K101" i="15"/>
  <c r="L101" i="15"/>
  <c r="N101" i="15"/>
  <c r="O101" i="15"/>
  <c r="I154" i="15"/>
  <c r="F154" i="15"/>
  <c r="G154" i="15"/>
  <c r="H154" i="15"/>
  <c r="J154" i="15"/>
  <c r="K154" i="15"/>
  <c r="L154" i="15"/>
  <c r="N154" i="15"/>
  <c r="O154" i="15"/>
  <c r="I155" i="15"/>
  <c r="F155" i="15"/>
  <c r="G155" i="15"/>
  <c r="H155" i="15"/>
  <c r="J155" i="15"/>
  <c r="K155" i="15"/>
  <c r="L155" i="15"/>
  <c r="N155" i="15"/>
  <c r="O155" i="15"/>
  <c r="I51" i="15"/>
  <c r="F51" i="15"/>
  <c r="G51" i="15"/>
  <c r="H51" i="15"/>
  <c r="J51" i="15"/>
  <c r="K51" i="15"/>
  <c r="N51" i="15"/>
  <c r="O51" i="15"/>
  <c r="I156" i="15"/>
  <c r="F156" i="15"/>
  <c r="G156" i="15"/>
  <c r="H156" i="15"/>
  <c r="J156" i="15"/>
  <c r="K156" i="15"/>
  <c r="L156" i="15"/>
  <c r="N156" i="15"/>
  <c r="O156" i="15"/>
  <c r="I158" i="15"/>
  <c r="F158" i="15"/>
  <c r="G158" i="15"/>
  <c r="H158" i="15"/>
  <c r="J158" i="15"/>
  <c r="K158" i="15"/>
  <c r="L158" i="15"/>
  <c r="N158" i="15"/>
  <c r="O158" i="15"/>
  <c r="I103" i="15"/>
  <c r="F103" i="15"/>
  <c r="G103" i="15"/>
  <c r="H103" i="15"/>
  <c r="J103" i="15"/>
  <c r="K103" i="15"/>
  <c r="N103" i="15"/>
  <c r="O103" i="15"/>
  <c r="I159" i="15"/>
  <c r="F159" i="15"/>
  <c r="G159" i="15"/>
  <c r="H159" i="15"/>
  <c r="J159" i="15"/>
  <c r="K159" i="15"/>
  <c r="L159" i="15"/>
  <c r="N159" i="15"/>
  <c r="O159" i="15"/>
  <c r="I160" i="15"/>
  <c r="F160" i="15"/>
  <c r="G160" i="15"/>
  <c r="H160" i="15"/>
  <c r="J160" i="15"/>
  <c r="K160" i="15"/>
  <c r="L160" i="15"/>
  <c r="N160" i="15"/>
  <c r="O160" i="15"/>
  <c r="I162" i="15"/>
  <c r="F162" i="15"/>
  <c r="G162" i="15"/>
  <c r="H162" i="15"/>
  <c r="J162" i="15"/>
  <c r="K162" i="15"/>
  <c r="L162" i="15"/>
  <c r="N162" i="15"/>
  <c r="O162" i="15"/>
  <c r="I92" i="15"/>
  <c r="F92" i="15"/>
  <c r="G92" i="15"/>
  <c r="H92" i="15"/>
  <c r="J92" i="15"/>
  <c r="K92" i="15"/>
  <c r="L92" i="15"/>
  <c r="N92" i="15"/>
  <c r="O92" i="15"/>
  <c r="I164" i="15"/>
  <c r="F164" i="15"/>
  <c r="G164" i="15"/>
  <c r="H164" i="15"/>
  <c r="J164" i="15"/>
  <c r="K164" i="15"/>
  <c r="L164" i="15"/>
  <c r="N164" i="15"/>
  <c r="O164" i="15"/>
  <c r="I135" i="15"/>
  <c r="F135" i="15"/>
  <c r="G135" i="15"/>
  <c r="H135" i="15"/>
  <c r="J135" i="15"/>
  <c r="K135" i="15"/>
  <c r="L135" i="15"/>
  <c r="N135" i="15"/>
  <c r="O135" i="15"/>
  <c r="I115" i="15"/>
  <c r="F115" i="15"/>
  <c r="G115" i="15"/>
  <c r="H115" i="15"/>
  <c r="J115" i="15"/>
  <c r="K115" i="15"/>
  <c r="L115" i="15"/>
  <c r="N115" i="15"/>
  <c r="O115" i="15"/>
  <c r="I165" i="15"/>
  <c r="F165" i="15"/>
  <c r="G165" i="15"/>
  <c r="H165" i="15"/>
  <c r="J165" i="15"/>
  <c r="K165" i="15"/>
  <c r="L165" i="15"/>
  <c r="N165" i="15"/>
  <c r="O165" i="15"/>
  <c r="I131" i="15"/>
  <c r="F131" i="15"/>
  <c r="G131" i="15"/>
  <c r="H131" i="15"/>
  <c r="J131" i="15"/>
  <c r="K131" i="15"/>
  <c r="L131" i="15"/>
  <c r="N131" i="15"/>
  <c r="O131" i="15"/>
  <c r="I117" i="15"/>
  <c r="F117" i="15"/>
  <c r="G117" i="15"/>
  <c r="H117" i="15"/>
  <c r="J117" i="15"/>
  <c r="K117" i="15"/>
  <c r="L117" i="15"/>
  <c r="N117" i="15"/>
  <c r="O117" i="15"/>
  <c r="I166" i="15"/>
  <c r="F166" i="15"/>
  <c r="G166" i="15"/>
  <c r="H166" i="15"/>
  <c r="J166" i="15"/>
  <c r="K166" i="15"/>
  <c r="L166" i="15"/>
  <c r="N166" i="15"/>
  <c r="O166" i="15"/>
  <c r="I167" i="15"/>
  <c r="F167" i="15"/>
  <c r="G167" i="15"/>
  <c r="H167" i="15"/>
  <c r="J167" i="15"/>
  <c r="K167" i="15"/>
  <c r="L167" i="15"/>
  <c r="N167" i="15"/>
  <c r="O167" i="15"/>
  <c r="I168" i="15"/>
  <c r="F168" i="15"/>
  <c r="G168" i="15"/>
  <c r="H168" i="15"/>
  <c r="J168" i="15"/>
  <c r="K168" i="15"/>
  <c r="L168" i="15"/>
  <c r="N168" i="15"/>
  <c r="O168" i="15"/>
  <c r="I169" i="15"/>
  <c r="F169" i="15"/>
  <c r="G169" i="15"/>
  <c r="H169" i="15"/>
  <c r="J169" i="15"/>
  <c r="K169" i="15"/>
  <c r="L169" i="15"/>
  <c r="N169" i="15"/>
  <c r="O169" i="15"/>
  <c r="I170" i="15"/>
  <c r="F170" i="15"/>
  <c r="G170" i="15"/>
  <c r="H170" i="15"/>
  <c r="J170" i="15"/>
  <c r="K170" i="15"/>
  <c r="L170" i="15"/>
  <c r="N170" i="15"/>
  <c r="O170" i="15"/>
  <c r="I171" i="15"/>
  <c r="F171" i="15"/>
  <c r="G171" i="15"/>
  <c r="H171" i="15"/>
  <c r="J171" i="15"/>
  <c r="K171" i="15"/>
  <c r="L171" i="15"/>
  <c r="N171" i="15"/>
  <c r="O171" i="15"/>
  <c r="I84" i="15"/>
  <c r="F84" i="15"/>
  <c r="G84" i="15"/>
  <c r="H84" i="15"/>
  <c r="J84" i="15"/>
  <c r="K84" i="15"/>
  <c r="L84" i="15"/>
  <c r="N84" i="15"/>
  <c r="O84" i="15"/>
  <c r="I98" i="15"/>
  <c r="F98" i="15"/>
  <c r="G98" i="15"/>
  <c r="H98" i="15"/>
  <c r="J98" i="15"/>
  <c r="K98" i="15"/>
  <c r="L98" i="15"/>
  <c r="N98" i="15"/>
  <c r="O98" i="15"/>
  <c r="I128" i="15"/>
  <c r="F128" i="15"/>
  <c r="G128" i="15"/>
  <c r="H128" i="15"/>
  <c r="J128" i="15"/>
  <c r="K128" i="15"/>
  <c r="L128" i="15"/>
  <c r="N128" i="15"/>
  <c r="O128" i="15"/>
  <c r="I119" i="15"/>
  <c r="F119" i="15"/>
  <c r="G119" i="15"/>
  <c r="H119" i="15"/>
  <c r="J119" i="15"/>
  <c r="K119" i="15"/>
  <c r="L119" i="15"/>
  <c r="N119" i="15"/>
  <c r="O119" i="15"/>
  <c r="I172" i="15"/>
  <c r="F172" i="15"/>
  <c r="G172" i="15"/>
  <c r="H172" i="15"/>
  <c r="J172" i="15"/>
  <c r="K172" i="15"/>
  <c r="L172" i="15"/>
  <c r="N172" i="15"/>
  <c r="O172" i="15"/>
  <c r="I173" i="15"/>
  <c r="F173" i="15"/>
  <c r="G173" i="15"/>
  <c r="H173" i="15"/>
  <c r="J173" i="15"/>
  <c r="K173" i="15"/>
  <c r="L173" i="15"/>
  <c r="N173" i="15"/>
  <c r="O173" i="15"/>
  <c r="I174" i="15"/>
  <c r="F174" i="15"/>
  <c r="G174" i="15"/>
  <c r="H174" i="15"/>
  <c r="J174" i="15"/>
  <c r="K174" i="15"/>
  <c r="L174" i="15"/>
  <c r="N174" i="15"/>
  <c r="O174" i="15"/>
  <c r="I134" i="15"/>
  <c r="F134" i="15"/>
  <c r="G134" i="15"/>
  <c r="H134" i="15"/>
  <c r="J134" i="15"/>
  <c r="K134" i="15"/>
  <c r="L134" i="15"/>
  <c r="N134" i="15"/>
  <c r="O134" i="15"/>
  <c r="I175" i="15"/>
  <c r="F175" i="15"/>
  <c r="G175" i="15"/>
  <c r="H175" i="15"/>
  <c r="J175" i="15"/>
  <c r="K175" i="15"/>
  <c r="L175" i="15"/>
  <c r="N175" i="15"/>
  <c r="O175" i="15"/>
  <c r="I176" i="15"/>
  <c r="F176" i="15"/>
  <c r="G176" i="15"/>
  <c r="H176" i="15"/>
  <c r="J176" i="15"/>
  <c r="K176" i="15"/>
  <c r="L176" i="15"/>
  <c r="N176" i="15"/>
  <c r="O176" i="15"/>
  <c r="I177" i="15"/>
  <c r="F177" i="15"/>
  <c r="G177" i="15"/>
  <c r="H177" i="15"/>
  <c r="J177" i="15"/>
  <c r="K177" i="15"/>
  <c r="L177" i="15"/>
  <c r="N177" i="15"/>
  <c r="O177" i="15"/>
  <c r="I178" i="15"/>
  <c r="F178" i="15"/>
  <c r="G178" i="15"/>
  <c r="H178" i="15"/>
  <c r="J178" i="15"/>
  <c r="K178" i="15"/>
  <c r="L178" i="15"/>
  <c r="N178" i="15"/>
  <c r="O178" i="15"/>
  <c r="I179" i="15"/>
  <c r="F179" i="15"/>
  <c r="G179" i="15"/>
  <c r="H179" i="15"/>
  <c r="J179" i="15"/>
  <c r="K179" i="15"/>
  <c r="L179" i="15"/>
  <c r="N179" i="15"/>
  <c r="O179" i="15"/>
  <c r="I94" i="15"/>
  <c r="F94" i="15"/>
  <c r="G94" i="15"/>
  <c r="H94" i="15"/>
  <c r="J94" i="15"/>
  <c r="K94" i="15"/>
  <c r="L94" i="15"/>
  <c r="N94" i="15"/>
  <c r="O94" i="15"/>
  <c r="I180" i="15"/>
  <c r="F180" i="15"/>
  <c r="G180" i="15"/>
  <c r="H180" i="15"/>
  <c r="J180" i="15"/>
  <c r="K180" i="15"/>
  <c r="L180" i="15"/>
  <c r="N180" i="15"/>
  <c r="O180" i="15"/>
  <c r="I59" i="15"/>
  <c r="F59" i="15"/>
  <c r="G59" i="15"/>
  <c r="H59" i="15"/>
  <c r="J59" i="15"/>
  <c r="K59" i="15"/>
  <c r="N59" i="15"/>
  <c r="O59" i="15"/>
  <c r="I132" i="15"/>
  <c r="F132" i="15"/>
  <c r="G132" i="15"/>
  <c r="H132" i="15"/>
  <c r="J132" i="15"/>
  <c r="K132" i="15"/>
  <c r="L132" i="15"/>
  <c r="N132" i="15"/>
  <c r="O132" i="15"/>
  <c r="I64" i="15"/>
  <c r="F64" i="15"/>
  <c r="G64" i="15"/>
  <c r="H64" i="15"/>
  <c r="J64" i="15"/>
  <c r="N64" i="15"/>
  <c r="O64" i="15"/>
  <c r="I181" i="15"/>
  <c r="F181" i="15"/>
  <c r="G181" i="15"/>
  <c r="H181" i="15"/>
  <c r="J181" i="15"/>
  <c r="K181" i="15"/>
  <c r="L181" i="15"/>
  <c r="N181" i="15"/>
  <c r="O181" i="15"/>
  <c r="I120" i="15"/>
  <c r="F120" i="15"/>
  <c r="G120" i="15"/>
  <c r="H120" i="15"/>
  <c r="J120" i="15"/>
  <c r="K120" i="15"/>
  <c r="L120" i="15"/>
  <c r="N120" i="15"/>
  <c r="O120" i="15"/>
  <c r="I78" i="15"/>
  <c r="F78" i="15"/>
  <c r="G78" i="15"/>
  <c r="H78" i="15"/>
  <c r="J78" i="15"/>
  <c r="K78" i="15"/>
  <c r="N78" i="15"/>
  <c r="O78" i="15"/>
  <c r="I138" i="15"/>
  <c r="F138" i="15"/>
  <c r="G138" i="15"/>
  <c r="H138" i="15"/>
  <c r="J138" i="15"/>
  <c r="K138" i="15"/>
  <c r="L138" i="15"/>
  <c r="N138" i="15"/>
  <c r="O138" i="15"/>
  <c r="I126" i="15"/>
  <c r="F126" i="15"/>
  <c r="G126" i="15"/>
  <c r="H126" i="15"/>
  <c r="J126" i="15"/>
  <c r="K126" i="15"/>
  <c r="L126" i="15"/>
  <c r="N126" i="15"/>
  <c r="O126" i="15"/>
  <c r="I96" i="15"/>
  <c r="F96" i="15"/>
  <c r="G96" i="15"/>
  <c r="H96" i="15"/>
  <c r="J96" i="15"/>
  <c r="K96" i="15"/>
  <c r="L96" i="15"/>
  <c r="N96" i="15"/>
  <c r="O96" i="15"/>
  <c r="I118" i="15"/>
  <c r="F118" i="15"/>
  <c r="G118" i="15"/>
  <c r="H118" i="15"/>
  <c r="J118" i="15"/>
  <c r="K118" i="15"/>
  <c r="L118" i="15"/>
  <c r="O118" i="15"/>
  <c r="I125" i="15"/>
  <c r="F125" i="15"/>
  <c r="G125" i="15"/>
  <c r="H125" i="15"/>
  <c r="J125" i="15"/>
  <c r="K125" i="15"/>
  <c r="L125" i="15"/>
  <c r="N125" i="15"/>
  <c r="O125" i="15"/>
  <c r="I65" i="15"/>
  <c r="F65" i="15"/>
  <c r="G65" i="15"/>
  <c r="H65" i="15"/>
  <c r="J65" i="15"/>
  <c r="K65" i="15"/>
  <c r="N65" i="15"/>
  <c r="O65" i="15"/>
  <c r="I182" i="15"/>
  <c r="F182" i="15"/>
  <c r="G182" i="15"/>
  <c r="H182" i="15"/>
  <c r="J182" i="15"/>
  <c r="K182" i="15"/>
  <c r="L182" i="15"/>
  <c r="N182" i="15"/>
  <c r="O182" i="15"/>
  <c r="I183" i="15"/>
  <c r="F183" i="15"/>
  <c r="G183" i="15"/>
  <c r="H183" i="15"/>
  <c r="J183" i="15"/>
  <c r="K183" i="15"/>
  <c r="L183" i="15"/>
  <c r="N183" i="15"/>
  <c r="O183" i="15"/>
  <c r="I185" i="15"/>
  <c r="F185" i="15"/>
  <c r="G185" i="15"/>
  <c r="H185" i="15"/>
  <c r="J185" i="15"/>
  <c r="K185" i="15"/>
  <c r="L185" i="15"/>
  <c r="N185" i="15"/>
  <c r="O185" i="15"/>
  <c r="I186" i="15"/>
  <c r="F186" i="15"/>
  <c r="G186" i="15"/>
  <c r="H186" i="15"/>
  <c r="J186" i="15"/>
  <c r="K186" i="15"/>
  <c r="L186" i="15"/>
  <c r="N186" i="15"/>
  <c r="O186" i="15"/>
  <c r="I188" i="15"/>
  <c r="F188" i="15"/>
  <c r="G188" i="15"/>
  <c r="H188" i="15"/>
  <c r="J188" i="15"/>
  <c r="K188" i="15"/>
  <c r="L188" i="15"/>
  <c r="N188" i="15"/>
  <c r="O188" i="15"/>
  <c r="I189" i="15"/>
  <c r="F189" i="15"/>
  <c r="G189" i="15"/>
  <c r="H189" i="15"/>
  <c r="J189" i="15"/>
  <c r="K189" i="15"/>
  <c r="L189" i="15"/>
  <c r="N189" i="15"/>
  <c r="O189" i="15"/>
  <c r="I190" i="15"/>
  <c r="F190" i="15"/>
  <c r="G190" i="15"/>
  <c r="H190" i="15"/>
  <c r="J190" i="15"/>
  <c r="K190" i="15"/>
  <c r="L190" i="15"/>
  <c r="N190" i="15"/>
  <c r="O190" i="15"/>
  <c r="I191" i="15"/>
  <c r="F191" i="15"/>
  <c r="G191" i="15"/>
  <c r="H191" i="15"/>
  <c r="J191" i="15"/>
  <c r="K191" i="15"/>
  <c r="L191" i="15"/>
  <c r="N191" i="15"/>
  <c r="O191" i="15"/>
  <c r="I192" i="15"/>
  <c r="F192" i="15"/>
  <c r="G192" i="15"/>
  <c r="H192" i="15"/>
  <c r="J192" i="15"/>
  <c r="K192" i="15"/>
  <c r="L192" i="15"/>
  <c r="N192" i="15"/>
  <c r="O192" i="15"/>
  <c r="I123" i="15"/>
  <c r="F123" i="15"/>
  <c r="G123" i="15"/>
  <c r="H123" i="15"/>
  <c r="J123" i="15"/>
  <c r="K123" i="15"/>
  <c r="L123" i="15"/>
  <c r="N123" i="15"/>
  <c r="O123" i="15"/>
  <c r="I129" i="15"/>
  <c r="F129" i="15"/>
  <c r="G129" i="15"/>
  <c r="H129" i="15"/>
  <c r="J129" i="15"/>
  <c r="K129" i="15"/>
  <c r="L129" i="15"/>
  <c r="N129" i="15"/>
  <c r="O129" i="15"/>
  <c r="I193" i="15"/>
  <c r="F193" i="15"/>
  <c r="G193" i="15"/>
  <c r="H193" i="15"/>
  <c r="J193" i="15"/>
  <c r="K193" i="15"/>
  <c r="L193" i="15"/>
  <c r="N193" i="15"/>
  <c r="O193" i="15"/>
  <c r="I194" i="15"/>
  <c r="F194" i="15"/>
  <c r="G194" i="15"/>
  <c r="H194" i="15"/>
  <c r="J194" i="15"/>
  <c r="K194" i="15"/>
  <c r="L194" i="15"/>
  <c r="N194" i="15"/>
  <c r="O194" i="15"/>
  <c r="I38" i="15"/>
  <c r="F38" i="15"/>
  <c r="G38" i="15"/>
  <c r="H38" i="15"/>
  <c r="J38" i="15"/>
  <c r="K38" i="15"/>
  <c r="N38" i="15"/>
  <c r="O38" i="15"/>
  <c r="I112" i="15"/>
  <c r="F112" i="15"/>
  <c r="G112" i="15"/>
  <c r="H112" i="15"/>
  <c r="J112" i="15"/>
  <c r="K112" i="15"/>
  <c r="L112" i="15"/>
  <c r="N112" i="15"/>
  <c r="O112" i="15"/>
  <c r="I195" i="15"/>
  <c r="F195" i="15"/>
  <c r="G195" i="15"/>
  <c r="H195" i="15"/>
  <c r="J195" i="15"/>
  <c r="K195" i="15"/>
  <c r="L195" i="15"/>
  <c r="N195" i="15"/>
  <c r="O195" i="15"/>
  <c r="I104" i="15"/>
  <c r="F104" i="15"/>
  <c r="G104" i="15"/>
  <c r="H104" i="15"/>
  <c r="J104" i="15"/>
  <c r="K104" i="15"/>
  <c r="N104" i="15"/>
  <c r="O104" i="15"/>
  <c r="I196" i="15"/>
  <c r="F196" i="15"/>
  <c r="G196" i="15"/>
  <c r="H196" i="15"/>
  <c r="J196" i="15"/>
  <c r="K196" i="15"/>
  <c r="L196" i="15"/>
  <c r="N196" i="15"/>
  <c r="O196" i="15"/>
  <c r="I197" i="15"/>
  <c r="F197" i="15"/>
  <c r="G197" i="15"/>
  <c r="H197" i="15"/>
  <c r="J197" i="15"/>
  <c r="K197" i="15"/>
  <c r="L197" i="15"/>
  <c r="N197" i="15"/>
  <c r="O197" i="15"/>
  <c r="I57" i="15"/>
  <c r="F57" i="15"/>
  <c r="G57" i="15"/>
  <c r="H57" i="15"/>
  <c r="J57" i="15"/>
  <c r="K57" i="15"/>
  <c r="L57" i="15"/>
  <c r="O57" i="15"/>
  <c r="I198" i="15"/>
  <c r="F198" i="15"/>
  <c r="G198" i="15"/>
  <c r="H198" i="15"/>
  <c r="J198" i="15"/>
  <c r="K198" i="15"/>
  <c r="L198" i="15"/>
  <c r="N198" i="15"/>
  <c r="O198" i="15"/>
  <c r="I91" i="15"/>
  <c r="F91" i="15"/>
  <c r="G91" i="15"/>
  <c r="H91" i="15"/>
  <c r="J91" i="15"/>
  <c r="K91" i="15"/>
  <c r="L91" i="15"/>
  <c r="N91" i="15"/>
  <c r="O91" i="15"/>
  <c r="I199" i="15"/>
  <c r="F199" i="15"/>
  <c r="G199" i="15"/>
  <c r="H199" i="15"/>
  <c r="J199" i="15"/>
  <c r="K199" i="15"/>
  <c r="L199" i="15"/>
  <c r="N199" i="15"/>
  <c r="O199" i="15"/>
  <c r="I82" i="15"/>
  <c r="F82" i="15"/>
  <c r="G82" i="15"/>
  <c r="H82" i="15"/>
  <c r="J82" i="15"/>
  <c r="L82" i="15"/>
  <c r="N82" i="15"/>
  <c r="O82" i="15"/>
  <c r="A16" i="8"/>
  <c r="K16" i="8"/>
  <c r="I86" i="15"/>
  <c r="F86" i="15"/>
  <c r="G86" i="15"/>
  <c r="H86" i="15"/>
  <c r="J86" i="15"/>
  <c r="K86" i="15"/>
  <c r="L86" i="15"/>
  <c r="N86" i="15"/>
  <c r="O86" i="15"/>
  <c r="I77" i="15"/>
  <c r="F77" i="15"/>
  <c r="G77" i="15"/>
  <c r="H77" i="15"/>
  <c r="J77" i="15"/>
  <c r="K77" i="15"/>
  <c r="N77" i="15"/>
  <c r="O77" i="15"/>
  <c r="I141" i="15"/>
  <c r="F141" i="15"/>
  <c r="G141" i="15"/>
  <c r="H141" i="15"/>
  <c r="J141" i="15"/>
  <c r="K141" i="15"/>
  <c r="L141" i="15"/>
  <c r="N141" i="15"/>
  <c r="O141" i="15"/>
  <c r="I201" i="15"/>
  <c r="F201" i="15"/>
  <c r="G201" i="15"/>
  <c r="H201" i="15"/>
  <c r="J201" i="15"/>
  <c r="K201" i="15"/>
  <c r="L201" i="15"/>
  <c r="N201" i="15"/>
  <c r="O201" i="15"/>
  <c r="I70" i="15"/>
  <c r="F70" i="15"/>
  <c r="G70" i="15"/>
  <c r="H70" i="15"/>
  <c r="J70" i="15"/>
  <c r="K70" i="15"/>
  <c r="N70" i="15"/>
  <c r="O70" i="15"/>
  <c r="I202" i="15"/>
  <c r="F202" i="15"/>
  <c r="G202" i="15"/>
  <c r="H202" i="15"/>
  <c r="J202" i="15"/>
  <c r="K202" i="15"/>
  <c r="L202" i="15"/>
  <c r="N202" i="15"/>
  <c r="O202" i="15"/>
  <c r="I99" i="15"/>
  <c r="F99" i="15"/>
  <c r="G99" i="15"/>
  <c r="H99" i="15"/>
  <c r="J99" i="15"/>
  <c r="K99" i="15"/>
  <c r="L99" i="15"/>
  <c r="N99" i="15"/>
  <c r="O99" i="15"/>
  <c r="I93" i="15"/>
  <c r="F93" i="15"/>
  <c r="G93" i="15"/>
  <c r="H93" i="15"/>
  <c r="J93" i="15"/>
  <c r="K93" i="15"/>
  <c r="N93" i="15"/>
  <c r="O93" i="15"/>
  <c r="I203" i="15"/>
  <c r="F203" i="15"/>
  <c r="G203" i="15"/>
  <c r="H203" i="15"/>
  <c r="J203" i="15"/>
  <c r="K203" i="15"/>
  <c r="L203" i="15"/>
  <c r="N203" i="15"/>
  <c r="O203" i="15"/>
  <c r="I204" i="15"/>
  <c r="F204" i="15"/>
  <c r="G204" i="15"/>
  <c r="H204" i="15"/>
  <c r="J204" i="15"/>
  <c r="K204" i="15"/>
  <c r="L204" i="15"/>
  <c r="N204" i="15"/>
  <c r="O204" i="15"/>
  <c r="I205" i="15"/>
  <c r="F205" i="15"/>
  <c r="G205" i="15"/>
  <c r="H205" i="15"/>
  <c r="J205" i="15"/>
  <c r="K205" i="15"/>
  <c r="L205" i="15"/>
  <c r="N205" i="15"/>
  <c r="O205" i="15"/>
  <c r="I108" i="15"/>
  <c r="F108" i="15"/>
  <c r="G108" i="15"/>
  <c r="H108" i="15"/>
  <c r="J108" i="15"/>
  <c r="K108" i="15"/>
  <c r="L108" i="15"/>
  <c r="N108" i="15"/>
  <c r="O108" i="15"/>
  <c r="A3" i="8"/>
  <c r="K3" i="8"/>
  <c r="I55" i="15"/>
  <c r="F55" i="15"/>
  <c r="G55" i="15"/>
  <c r="H55" i="15"/>
  <c r="J55" i="15"/>
  <c r="K55" i="15"/>
  <c r="L55" i="15"/>
  <c r="N55" i="15"/>
  <c r="O55" i="15"/>
  <c r="I107" i="15"/>
  <c r="F107" i="15"/>
  <c r="G107" i="15"/>
  <c r="H107" i="15"/>
  <c r="J107" i="15"/>
  <c r="K107" i="15"/>
  <c r="N107" i="15"/>
  <c r="O107" i="15"/>
  <c r="I207" i="15"/>
  <c r="F207" i="15"/>
  <c r="G207" i="15"/>
  <c r="H207" i="15"/>
  <c r="J207" i="15"/>
  <c r="K207" i="15"/>
  <c r="L207" i="15"/>
  <c r="N207" i="15"/>
  <c r="O207" i="15"/>
  <c r="I208" i="15"/>
  <c r="F208" i="15"/>
  <c r="G208" i="15"/>
  <c r="H208" i="15"/>
  <c r="J208" i="15"/>
  <c r="K208" i="15"/>
  <c r="L208" i="15"/>
  <c r="N208" i="15"/>
  <c r="O208" i="15"/>
  <c r="I209" i="15"/>
  <c r="F209" i="15"/>
  <c r="G209" i="15"/>
  <c r="H209" i="15"/>
  <c r="J209" i="15"/>
  <c r="K209" i="15"/>
  <c r="L209" i="15"/>
  <c r="N209" i="15"/>
  <c r="O209" i="15"/>
  <c r="I145" i="15"/>
  <c r="F145" i="15"/>
  <c r="G145" i="15"/>
  <c r="H145" i="15"/>
  <c r="J145" i="15"/>
  <c r="K145" i="15"/>
  <c r="L145" i="15"/>
  <c r="N145" i="15"/>
  <c r="O145" i="15"/>
  <c r="I210" i="15"/>
  <c r="F210" i="15"/>
  <c r="G210" i="15"/>
  <c r="H210" i="15"/>
  <c r="J210" i="15"/>
  <c r="K210" i="15"/>
  <c r="L210" i="15"/>
  <c r="N210" i="15"/>
  <c r="O210" i="15"/>
  <c r="I83" i="15"/>
  <c r="F83" i="15"/>
  <c r="G83" i="15"/>
  <c r="H83" i="15"/>
  <c r="J83" i="15"/>
  <c r="K83" i="15"/>
  <c r="L83" i="15"/>
  <c r="N83" i="15"/>
  <c r="O83" i="15"/>
  <c r="I211" i="15"/>
  <c r="F211" i="15"/>
  <c r="G211" i="15"/>
  <c r="H211" i="15"/>
  <c r="J211" i="15"/>
  <c r="K211" i="15"/>
  <c r="L211" i="15"/>
  <c r="N211" i="15"/>
  <c r="O211" i="15"/>
  <c r="I140" i="15"/>
  <c r="F140" i="15"/>
  <c r="G140" i="15"/>
  <c r="H140" i="15"/>
  <c r="J140" i="15"/>
  <c r="K140" i="15"/>
  <c r="L140" i="15"/>
  <c r="N140" i="15"/>
  <c r="O140" i="15"/>
  <c r="I89" i="15"/>
  <c r="F89" i="15"/>
  <c r="G89" i="15"/>
  <c r="H89" i="15"/>
  <c r="J89" i="15"/>
  <c r="K89" i="15"/>
  <c r="L89" i="15"/>
  <c r="N89" i="15"/>
  <c r="O89" i="15"/>
  <c r="I212" i="15"/>
  <c r="F212" i="15"/>
  <c r="G212" i="15"/>
  <c r="H212" i="15"/>
  <c r="J212" i="15"/>
  <c r="K212" i="15"/>
  <c r="L212" i="15"/>
  <c r="N212" i="15"/>
  <c r="O212" i="15"/>
  <c r="I213" i="15"/>
  <c r="F213" i="15"/>
  <c r="G213" i="15"/>
  <c r="H213" i="15"/>
  <c r="J213" i="15"/>
  <c r="K213" i="15"/>
  <c r="L213" i="15"/>
  <c r="N213" i="15"/>
  <c r="O213" i="15"/>
  <c r="I114" i="15"/>
  <c r="F114" i="15"/>
  <c r="G114" i="15"/>
  <c r="H114" i="15"/>
  <c r="J114" i="15"/>
  <c r="K114" i="15"/>
  <c r="L114" i="15"/>
  <c r="N114" i="15"/>
  <c r="O114" i="15"/>
  <c r="I214" i="15"/>
  <c r="F214" i="15"/>
  <c r="G214" i="15"/>
  <c r="H214" i="15"/>
  <c r="J214" i="15"/>
  <c r="K214" i="15"/>
  <c r="L214" i="15"/>
  <c r="N214" i="15"/>
  <c r="O214" i="15"/>
  <c r="I215" i="15"/>
  <c r="F215" i="15"/>
  <c r="G215" i="15"/>
  <c r="H215" i="15"/>
  <c r="J215" i="15"/>
  <c r="K215" i="15"/>
  <c r="L215" i="15"/>
  <c r="N215" i="15"/>
  <c r="O215" i="15"/>
  <c r="I217" i="15"/>
  <c r="F217" i="15"/>
  <c r="G217" i="15"/>
  <c r="H217" i="15"/>
  <c r="J217" i="15"/>
  <c r="K217" i="15"/>
  <c r="L217" i="15"/>
  <c r="N217" i="15"/>
  <c r="O217" i="15"/>
  <c r="I124" i="15"/>
  <c r="F124" i="15"/>
  <c r="G124" i="15"/>
  <c r="H124" i="15"/>
  <c r="J124" i="15"/>
  <c r="K124" i="15"/>
  <c r="L124" i="15"/>
  <c r="N124" i="15"/>
  <c r="O124" i="15"/>
  <c r="I60" i="15"/>
  <c r="F60" i="15"/>
  <c r="G60" i="15"/>
  <c r="H60" i="15"/>
  <c r="J60" i="15"/>
  <c r="K60" i="15"/>
  <c r="N60" i="15"/>
  <c r="O60" i="15"/>
  <c r="I105" i="15"/>
  <c r="F105" i="15"/>
  <c r="G105" i="15"/>
  <c r="H105" i="15"/>
  <c r="J105" i="15"/>
  <c r="K105" i="15"/>
  <c r="L105" i="15"/>
  <c r="N105" i="15"/>
  <c r="O105" i="15"/>
  <c r="I142" i="15"/>
  <c r="F142" i="15"/>
  <c r="G142" i="15"/>
  <c r="H142" i="15"/>
  <c r="J142" i="15"/>
  <c r="K142" i="15"/>
  <c r="L142" i="15"/>
  <c r="N142" i="15"/>
  <c r="O142" i="15"/>
  <c r="I40" i="15"/>
  <c r="F40" i="15"/>
  <c r="G40" i="15"/>
  <c r="H40" i="15"/>
  <c r="J40" i="15"/>
  <c r="K40" i="15"/>
  <c r="N40" i="15"/>
  <c r="O40" i="15"/>
  <c r="I218" i="15"/>
  <c r="F218" i="15"/>
  <c r="G218" i="15"/>
  <c r="H218" i="15"/>
  <c r="J218" i="15"/>
  <c r="K218" i="15"/>
  <c r="L218" i="15"/>
  <c r="N218" i="15"/>
  <c r="O218" i="15"/>
  <c r="I219" i="15"/>
  <c r="F219" i="15"/>
  <c r="G219" i="15"/>
  <c r="H219" i="15"/>
  <c r="J219" i="15"/>
  <c r="K219" i="15"/>
  <c r="L219" i="15"/>
  <c r="N219" i="15"/>
  <c r="O219" i="15"/>
  <c r="I220" i="15"/>
  <c r="F220" i="15"/>
  <c r="G220" i="15"/>
  <c r="H220" i="15"/>
  <c r="J220" i="15"/>
  <c r="K220" i="15"/>
  <c r="L220" i="15"/>
  <c r="N220" i="15"/>
  <c r="O220" i="15"/>
  <c r="I221" i="15"/>
  <c r="F221" i="15"/>
  <c r="G221" i="15"/>
  <c r="H221" i="15"/>
  <c r="J221" i="15"/>
  <c r="K221" i="15"/>
  <c r="L221" i="15"/>
  <c r="N221" i="15"/>
  <c r="O221" i="15"/>
  <c r="I222" i="15"/>
  <c r="F222" i="15"/>
  <c r="G222" i="15"/>
  <c r="H222" i="15"/>
  <c r="J222" i="15"/>
  <c r="K222" i="15"/>
  <c r="L222" i="15"/>
  <c r="N222" i="15"/>
  <c r="O222" i="15"/>
  <c r="I223" i="15"/>
  <c r="F223" i="15"/>
  <c r="G223" i="15"/>
  <c r="H223" i="15"/>
  <c r="J223" i="15"/>
  <c r="K223" i="15"/>
  <c r="L223" i="15"/>
  <c r="N223" i="15"/>
  <c r="O223" i="15"/>
  <c r="I76" i="15"/>
  <c r="F76" i="15"/>
  <c r="G76" i="15"/>
  <c r="H76" i="15"/>
  <c r="J76" i="15"/>
  <c r="K76" i="15"/>
  <c r="L76" i="15"/>
  <c r="N76" i="15"/>
  <c r="O76" i="15"/>
  <c r="I53" i="15"/>
  <c r="F53" i="15"/>
  <c r="G53" i="15"/>
  <c r="H53" i="15"/>
  <c r="J53" i="15"/>
  <c r="K53" i="15"/>
  <c r="L53" i="15"/>
  <c r="N53" i="15"/>
  <c r="O53" i="15"/>
  <c r="I113" i="15"/>
  <c r="F113" i="15"/>
  <c r="G113" i="15"/>
  <c r="H113" i="15"/>
  <c r="J113" i="15"/>
  <c r="K113" i="15"/>
  <c r="L113" i="15"/>
  <c r="N113" i="15"/>
  <c r="O113" i="15"/>
  <c r="I85" i="15"/>
  <c r="F85" i="15"/>
  <c r="G85" i="15"/>
  <c r="H85" i="15"/>
  <c r="J85" i="15"/>
  <c r="K85" i="15"/>
  <c r="N85" i="15"/>
  <c r="O85" i="15"/>
  <c r="I225" i="15"/>
  <c r="F225" i="15"/>
  <c r="G225" i="15"/>
  <c r="H225" i="15"/>
  <c r="J225" i="15"/>
  <c r="K225" i="15"/>
  <c r="L225" i="15"/>
  <c r="N225" i="15"/>
  <c r="O225" i="15"/>
  <c r="I226" i="15"/>
  <c r="F226" i="15"/>
  <c r="G226" i="15"/>
  <c r="H226" i="15"/>
  <c r="J226" i="15"/>
  <c r="K226" i="15"/>
  <c r="L226" i="15"/>
  <c r="N226" i="15"/>
  <c r="O226" i="15"/>
  <c r="I228" i="15"/>
  <c r="F228" i="15"/>
  <c r="G228" i="15"/>
  <c r="H228" i="15"/>
  <c r="J228" i="15"/>
  <c r="K228" i="15"/>
  <c r="L228" i="15"/>
  <c r="N228" i="15"/>
  <c r="O228" i="15"/>
  <c r="I52" i="15"/>
  <c r="F52" i="15"/>
  <c r="G52" i="15"/>
  <c r="H52" i="15"/>
  <c r="J52" i="15"/>
  <c r="L52" i="15"/>
  <c r="N52" i="15"/>
  <c r="O52" i="15"/>
  <c r="I130" i="15"/>
  <c r="F130" i="15"/>
  <c r="G130" i="15"/>
  <c r="H130" i="15"/>
  <c r="J130" i="15"/>
  <c r="K130" i="15"/>
  <c r="L130" i="15"/>
  <c r="N130" i="15"/>
  <c r="O130" i="15"/>
  <c r="I127" i="15"/>
  <c r="F127" i="15"/>
  <c r="G127" i="15"/>
  <c r="H127" i="15"/>
  <c r="J127" i="15"/>
  <c r="K127" i="15"/>
  <c r="N127" i="15"/>
  <c r="O127" i="15"/>
  <c r="J22" i="13"/>
  <c r="J66" i="13"/>
  <c r="J67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J59" i="13"/>
  <c r="J58" i="13"/>
  <c r="J61" i="13"/>
  <c r="J60" i="13"/>
  <c r="J56" i="13"/>
  <c r="J54" i="13"/>
  <c r="J57" i="13"/>
  <c r="J50" i="13"/>
  <c r="J52" i="13"/>
  <c r="J53" i="13"/>
  <c r="J47" i="13"/>
  <c r="J48" i="13"/>
  <c r="J49" i="13"/>
  <c r="J45" i="13"/>
  <c r="J43" i="13"/>
  <c r="J44" i="13"/>
  <c r="J42" i="13"/>
  <c r="J41" i="13"/>
  <c r="J39" i="13"/>
  <c r="J40" i="13"/>
  <c r="J38" i="13"/>
  <c r="J37" i="13"/>
  <c r="J34" i="13"/>
  <c r="J30" i="13"/>
  <c r="J33" i="13"/>
  <c r="J31" i="13"/>
  <c r="J27" i="13"/>
  <c r="J29" i="13"/>
  <c r="J28" i="13"/>
  <c r="J25" i="13"/>
  <c r="J24" i="13"/>
  <c r="J21" i="13"/>
  <c r="J18" i="13"/>
  <c r="J20" i="13"/>
  <c r="J19" i="13"/>
  <c r="J15" i="13"/>
  <c r="J17" i="13"/>
  <c r="J16" i="13"/>
  <c r="J14" i="13"/>
  <c r="J13" i="13"/>
  <c r="J11" i="13"/>
  <c r="J10" i="13"/>
  <c r="J7" i="13"/>
  <c r="J9" i="13"/>
  <c r="J8" i="13"/>
  <c r="J6" i="13"/>
  <c r="J5" i="13"/>
  <c r="J3" i="13"/>
  <c r="J4" i="13"/>
  <c r="J2" i="13"/>
  <c r="J65" i="13"/>
  <c r="J55" i="13"/>
  <c r="J51" i="13"/>
  <c r="J46" i="13"/>
  <c r="J36" i="13"/>
  <c r="J35" i="13"/>
  <c r="J32" i="13"/>
  <c r="J26" i="13"/>
  <c r="J23" i="13"/>
  <c r="J12" i="13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2" i="13"/>
  <c r="N47" i="13"/>
  <c r="R47" i="13"/>
  <c r="N48" i="13"/>
  <c r="R48" i="13"/>
  <c r="N49" i="13"/>
  <c r="R49" i="13"/>
  <c r="N50" i="13"/>
  <c r="R50" i="13"/>
  <c r="N51" i="13"/>
  <c r="R51" i="13"/>
  <c r="N52" i="13"/>
  <c r="R52" i="13"/>
  <c r="N53" i="13"/>
  <c r="R53" i="13"/>
  <c r="N54" i="13"/>
  <c r="R54" i="13"/>
  <c r="N55" i="13"/>
  <c r="R55" i="13"/>
  <c r="N56" i="13"/>
  <c r="R56" i="13"/>
  <c r="N57" i="13"/>
  <c r="R57" i="13"/>
  <c r="N58" i="13"/>
  <c r="R58" i="13"/>
  <c r="N59" i="13"/>
  <c r="R59" i="13"/>
  <c r="N60" i="13"/>
  <c r="R60" i="13"/>
  <c r="N61" i="13"/>
  <c r="R61" i="13"/>
  <c r="N46" i="13"/>
  <c r="R46" i="13"/>
  <c r="T43" i="13"/>
  <c r="T51" i="13"/>
  <c r="T56" i="13"/>
  <c r="T33" i="13"/>
  <c r="T6" i="13"/>
  <c r="T42" i="13"/>
  <c r="T48" i="13"/>
  <c r="T59" i="13"/>
  <c r="T55" i="13"/>
  <c r="T21" i="13"/>
  <c r="T50" i="13"/>
  <c r="T37" i="13"/>
  <c r="T60" i="13"/>
  <c r="T58" i="13"/>
  <c r="T16" i="13"/>
  <c r="T61" i="13"/>
  <c r="K58" i="13"/>
  <c r="K54" i="13"/>
  <c r="K50" i="13"/>
  <c r="K46" i="13"/>
  <c r="H40" i="3"/>
  <c r="H13" i="3"/>
  <c r="H6" i="3"/>
  <c r="H29" i="3"/>
  <c r="H34" i="3"/>
  <c r="H22" i="3"/>
  <c r="H37" i="3"/>
  <c r="H4" i="3"/>
  <c r="H26" i="3"/>
  <c r="H36" i="3"/>
  <c r="H17" i="3"/>
  <c r="H16" i="3"/>
  <c r="H20" i="3"/>
  <c r="H14" i="3"/>
  <c r="H10" i="3"/>
  <c r="H11" i="3"/>
  <c r="H30" i="3"/>
  <c r="H12" i="3"/>
  <c r="H24" i="3"/>
  <c r="H21" i="3"/>
  <c r="H39" i="3"/>
  <c r="H7" i="3"/>
  <c r="H2" i="3"/>
  <c r="H38" i="3"/>
  <c r="H28" i="3"/>
  <c r="H31" i="3"/>
  <c r="H41" i="3"/>
  <c r="H18" i="3"/>
  <c r="H33" i="3"/>
  <c r="H23" i="3"/>
  <c r="H42" i="3"/>
  <c r="H27" i="3"/>
  <c r="H35" i="3"/>
  <c r="H8" i="3"/>
  <c r="H3" i="3"/>
  <c r="H9" i="3"/>
  <c r="H15" i="3"/>
  <c r="H5" i="3"/>
  <c r="H25" i="3"/>
  <c r="H32" i="3"/>
  <c r="H19" i="3"/>
  <c r="J3" i="14"/>
  <c r="E3" i="14" s="1"/>
  <c r="J4" i="14"/>
  <c r="E4" i="14" s="1"/>
  <c r="J5" i="14"/>
  <c r="E5" i="14" s="1"/>
  <c r="J6" i="14"/>
  <c r="E6" i="14" s="1"/>
  <c r="J7" i="14"/>
  <c r="E7" i="14" s="1"/>
  <c r="J8" i="14"/>
  <c r="E8" i="14" s="1"/>
  <c r="J9" i="14"/>
  <c r="E9" i="14" s="1"/>
  <c r="J10" i="14"/>
  <c r="E10" i="14" s="1"/>
  <c r="J11" i="14"/>
  <c r="E11" i="14" s="1"/>
  <c r="J12" i="14"/>
  <c r="E12" i="14" s="1"/>
  <c r="J13" i="14"/>
  <c r="E13" i="14" s="1"/>
  <c r="J14" i="14"/>
  <c r="E14" i="14" s="1"/>
  <c r="J15" i="14"/>
  <c r="E15" i="14" s="1"/>
  <c r="J16" i="14"/>
  <c r="E16" i="14" s="1"/>
  <c r="J17" i="14"/>
  <c r="E17" i="14" s="1"/>
  <c r="J18" i="14"/>
  <c r="E18" i="14" s="1"/>
  <c r="J19" i="14"/>
  <c r="E19" i="14" s="1"/>
  <c r="J20" i="14"/>
  <c r="E20" i="14" s="1"/>
  <c r="J21" i="14"/>
  <c r="E21" i="14" s="1"/>
  <c r="J22" i="14"/>
  <c r="E22" i="14" s="1"/>
  <c r="J23" i="14"/>
  <c r="E23" i="14" s="1"/>
  <c r="J24" i="14"/>
  <c r="E24" i="14" s="1"/>
  <c r="J25" i="14"/>
  <c r="E25" i="14" s="1"/>
  <c r="J26" i="14"/>
  <c r="E26" i="14" s="1"/>
  <c r="J27" i="14"/>
  <c r="E27" i="14" s="1"/>
  <c r="J28" i="14"/>
  <c r="E28" i="14" s="1"/>
  <c r="J29" i="14"/>
  <c r="E29" i="14" s="1"/>
  <c r="J30" i="14"/>
  <c r="E30" i="14" s="1"/>
  <c r="J31" i="14"/>
  <c r="E31" i="14" s="1"/>
  <c r="J32" i="14"/>
  <c r="E32" i="14" s="1"/>
  <c r="J33" i="14"/>
  <c r="E33" i="14" s="1"/>
  <c r="J34" i="14"/>
  <c r="E34" i="14" s="1"/>
  <c r="J35" i="14"/>
  <c r="E35" i="14" s="1"/>
  <c r="J36" i="14"/>
  <c r="E36" i="14" s="1"/>
  <c r="J37" i="14"/>
  <c r="E37" i="14" s="1"/>
  <c r="J38" i="14"/>
  <c r="E38" i="14" s="1"/>
  <c r="J39" i="14"/>
  <c r="E39" i="14" s="1"/>
  <c r="J40" i="14"/>
  <c r="E40" i="14" s="1"/>
  <c r="J41" i="14"/>
  <c r="E41" i="14" s="1"/>
  <c r="J42" i="14"/>
  <c r="E42" i="14" s="1"/>
  <c r="J43" i="14"/>
  <c r="E43" i="14" s="1"/>
  <c r="J44" i="14"/>
  <c r="E44" i="14" s="1"/>
  <c r="J45" i="14"/>
  <c r="E45" i="14" s="1"/>
  <c r="J46" i="14"/>
  <c r="E46" i="14" s="1"/>
  <c r="J47" i="14"/>
  <c r="E47" i="14" s="1"/>
  <c r="J48" i="14"/>
  <c r="E48" i="14" s="1"/>
  <c r="J49" i="14"/>
  <c r="E49" i="14" s="1"/>
  <c r="J50" i="14"/>
  <c r="E50" i="14" s="1"/>
  <c r="J51" i="14"/>
  <c r="E51" i="14" s="1"/>
  <c r="J52" i="14"/>
  <c r="E52" i="14" s="1"/>
  <c r="J53" i="14"/>
  <c r="E53" i="14" s="1"/>
  <c r="J54" i="14"/>
  <c r="E54" i="14" s="1"/>
  <c r="J55" i="14"/>
  <c r="E55" i="14" s="1"/>
  <c r="J56" i="14"/>
  <c r="E56" i="14" s="1"/>
  <c r="J57" i="14"/>
  <c r="E57" i="14" s="1"/>
  <c r="J58" i="14"/>
  <c r="E58" i="14" s="1"/>
  <c r="J59" i="14"/>
  <c r="E59" i="14" s="1"/>
  <c r="J60" i="14"/>
  <c r="E60" i="14" s="1"/>
  <c r="J61" i="14"/>
  <c r="E61" i="14" s="1"/>
  <c r="J62" i="14"/>
  <c r="E62" i="14" s="1"/>
  <c r="J63" i="14"/>
  <c r="E63" i="14" s="1"/>
  <c r="J64" i="14"/>
  <c r="E64" i="14" s="1"/>
  <c r="J65" i="14"/>
  <c r="E65" i="14" s="1"/>
  <c r="J66" i="14"/>
  <c r="E66" i="14" s="1"/>
  <c r="J67" i="14"/>
  <c r="E67" i="14" s="1"/>
  <c r="J68" i="14"/>
  <c r="E68" i="14" s="1"/>
  <c r="J69" i="14"/>
  <c r="E69" i="14" s="1"/>
  <c r="J70" i="14"/>
  <c r="E70" i="14" s="1"/>
  <c r="J71" i="14"/>
  <c r="E71" i="14" s="1"/>
  <c r="J72" i="14"/>
  <c r="E72" i="14" s="1"/>
  <c r="J73" i="14"/>
  <c r="E73" i="14" s="1"/>
  <c r="J74" i="14"/>
  <c r="E74" i="14" s="1"/>
  <c r="J75" i="14"/>
  <c r="E75" i="14" s="1"/>
  <c r="J76" i="14"/>
  <c r="E76" i="14" s="1"/>
  <c r="J77" i="14"/>
  <c r="E77" i="14" s="1"/>
  <c r="J78" i="14"/>
  <c r="E78" i="14" s="1"/>
  <c r="J79" i="14"/>
  <c r="E79" i="14" s="1"/>
  <c r="J80" i="14"/>
  <c r="E80" i="14" s="1"/>
  <c r="J81" i="14"/>
  <c r="E81" i="14" s="1"/>
  <c r="J82" i="14"/>
  <c r="E82" i="14" s="1"/>
  <c r="J83" i="14"/>
  <c r="E83" i="14" s="1"/>
  <c r="J84" i="14"/>
  <c r="E84" i="14" s="1"/>
  <c r="J85" i="14"/>
  <c r="E85" i="14" s="1"/>
  <c r="J86" i="14"/>
  <c r="E86" i="14" s="1"/>
  <c r="J87" i="14"/>
  <c r="E87" i="14" s="1"/>
  <c r="J88" i="14"/>
  <c r="E88" i="14" s="1"/>
  <c r="J89" i="14"/>
  <c r="E89" i="14" s="1"/>
  <c r="J90" i="14"/>
  <c r="E90" i="14" s="1"/>
  <c r="J91" i="14"/>
  <c r="E91" i="14" s="1"/>
  <c r="J92" i="14"/>
  <c r="E92" i="14" s="1"/>
  <c r="J93" i="14"/>
  <c r="E93" i="14" s="1"/>
  <c r="J94" i="14"/>
  <c r="E94" i="14" s="1"/>
  <c r="J95" i="14"/>
  <c r="E95" i="14" s="1"/>
  <c r="J96" i="14"/>
  <c r="E96" i="14" s="1"/>
  <c r="J97" i="14"/>
  <c r="E97" i="14" s="1"/>
  <c r="J98" i="14"/>
  <c r="E98" i="14" s="1"/>
  <c r="J99" i="14"/>
  <c r="E99" i="14" s="1"/>
  <c r="J100" i="14"/>
  <c r="E100" i="14" s="1"/>
  <c r="J101" i="14"/>
  <c r="E101" i="14" s="1"/>
  <c r="J102" i="14"/>
  <c r="E102" i="14" s="1"/>
  <c r="J103" i="14"/>
  <c r="E103" i="14" s="1"/>
  <c r="J104" i="14"/>
  <c r="E104" i="14" s="1"/>
  <c r="J105" i="14"/>
  <c r="E105" i="14" s="1"/>
  <c r="J106" i="14"/>
  <c r="E106" i="14" s="1"/>
  <c r="J107" i="14"/>
  <c r="E107" i="14" s="1"/>
  <c r="J108" i="14"/>
  <c r="E108" i="14" s="1"/>
  <c r="J109" i="14"/>
  <c r="E109" i="14" s="1"/>
  <c r="J110" i="14"/>
  <c r="E110" i="14" s="1"/>
  <c r="J111" i="14"/>
  <c r="E111" i="14" s="1"/>
  <c r="J112" i="14"/>
  <c r="E112" i="14" s="1"/>
  <c r="J113" i="14"/>
  <c r="E113" i="14" s="1"/>
  <c r="J114" i="14"/>
  <c r="E114" i="14" s="1"/>
  <c r="J115" i="14"/>
  <c r="E115" i="14" s="1"/>
  <c r="J116" i="14"/>
  <c r="E116" i="14" s="1"/>
  <c r="J117" i="14"/>
  <c r="E117" i="14" s="1"/>
  <c r="J140" i="14"/>
  <c r="E140" i="14" s="1"/>
  <c r="J141" i="14"/>
  <c r="E141" i="14" s="1"/>
  <c r="J142" i="14"/>
  <c r="E142" i="14" s="1"/>
  <c r="J143" i="14"/>
  <c r="E143" i="14" s="1"/>
  <c r="J144" i="14"/>
  <c r="E144" i="14" s="1"/>
  <c r="J145" i="14"/>
  <c r="E145" i="14" s="1"/>
  <c r="J2" i="14"/>
  <c r="E2" i="14" s="1"/>
  <c r="A3" i="14"/>
  <c r="A4" i="14"/>
  <c r="H4" i="14" s="1"/>
  <c r="A5" i="14"/>
  <c r="H5" i="14"/>
  <c r="A6" i="14"/>
  <c r="H6" i="14" s="1"/>
  <c r="A7" i="14"/>
  <c r="H7" i="14" s="1"/>
  <c r="A8" i="14"/>
  <c r="H8" i="14" s="1"/>
  <c r="A9" i="14"/>
  <c r="H9" i="14" s="1"/>
  <c r="A10" i="14"/>
  <c r="H10" i="14" s="1"/>
  <c r="A11" i="14"/>
  <c r="A12" i="14"/>
  <c r="H12" i="14" s="1"/>
  <c r="A13" i="14"/>
  <c r="H13" i="14" s="1"/>
  <c r="A14" i="14"/>
  <c r="H14" i="14" s="1"/>
  <c r="A15" i="14"/>
  <c r="H15" i="14" s="1"/>
  <c r="A16" i="14"/>
  <c r="H16" i="14" s="1"/>
  <c r="A17" i="14"/>
  <c r="H17" i="14" s="1"/>
  <c r="A18" i="14"/>
  <c r="H18" i="14" s="1"/>
  <c r="A19" i="14"/>
  <c r="H19" i="14" s="1"/>
  <c r="A20" i="14"/>
  <c r="H20" i="14"/>
  <c r="A21" i="14"/>
  <c r="H21" i="14" s="1"/>
  <c r="A22" i="14"/>
  <c r="H22" i="14" s="1"/>
  <c r="A23" i="14"/>
  <c r="H23" i="14" s="1"/>
  <c r="A24" i="14"/>
  <c r="H24" i="14" s="1"/>
  <c r="A25" i="14"/>
  <c r="H25" i="14" s="1"/>
  <c r="A26" i="14"/>
  <c r="H26" i="14" s="1"/>
  <c r="A27" i="14"/>
  <c r="H27" i="14" s="1"/>
  <c r="A28" i="14"/>
  <c r="H28" i="14" s="1"/>
  <c r="A29" i="14"/>
  <c r="H29" i="14" s="1"/>
  <c r="A30" i="14"/>
  <c r="H30" i="14" s="1"/>
  <c r="A31" i="14"/>
  <c r="H31" i="14" s="1"/>
  <c r="A32" i="14"/>
  <c r="H32" i="14" s="1"/>
  <c r="A33" i="14"/>
  <c r="H33" i="14" s="1"/>
  <c r="A34" i="14"/>
  <c r="H34" i="14" s="1"/>
  <c r="A35" i="14"/>
  <c r="A36" i="14"/>
  <c r="H36" i="14" s="1"/>
  <c r="A37" i="14"/>
  <c r="H37" i="14" s="1"/>
  <c r="A38" i="14"/>
  <c r="H38" i="14" s="1"/>
  <c r="A39" i="14"/>
  <c r="H39" i="14" s="1"/>
  <c r="A40" i="14"/>
  <c r="H40" i="14" s="1"/>
  <c r="A41" i="14"/>
  <c r="H41" i="14" s="1"/>
  <c r="A42" i="14"/>
  <c r="H42" i="14" s="1"/>
  <c r="A43" i="14"/>
  <c r="H43" i="14" s="1"/>
  <c r="A44" i="14"/>
  <c r="H44" i="14"/>
  <c r="A45" i="14"/>
  <c r="H45" i="14"/>
  <c r="A46" i="14"/>
  <c r="H46" i="14"/>
  <c r="A47" i="14"/>
  <c r="H47" i="14"/>
  <c r="A48" i="14"/>
  <c r="H48" i="14"/>
  <c r="A49" i="14"/>
  <c r="H49" i="14"/>
  <c r="A50" i="14"/>
  <c r="H50" i="14"/>
  <c r="A51" i="14"/>
  <c r="A52" i="14"/>
  <c r="H52" i="14" s="1"/>
  <c r="A53" i="14"/>
  <c r="H53" i="14" s="1"/>
  <c r="A54" i="14"/>
  <c r="H54" i="14" s="1"/>
  <c r="A55" i="14"/>
  <c r="H55" i="14" s="1"/>
  <c r="A56" i="14"/>
  <c r="H56" i="14" s="1"/>
  <c r="A57" i="14"/>
  <c r="H57" i="14" s="1"/>
  <c r="A58" i="14"/>
  <c r="H58" i="14" s="1"/>
  <c r="A59" i="14"/>
  <c r="H59" i="14" s="1"/>
  <c r="A60" i="14"/>
  <c r="H60" i="14" s="1"/>
  <c r="A61" i="14"/>
  <c r="H61" i="14" s="1"/>
  <c r="A62" i="14"/>
  <c r="H62" i="14" s="1"/>
  <c r="A63" i="14"/>
  <c r="H63" i="14" s="1"/>
  <c r="A64" i="14"/>
  <c r="H64" i="14" s="1"/>
  <c r="A65" i="14"/>
  <c r="H65" i="14" s="1"/>
  <c r="A66" i="14"/>
  <c r="H66" i="14" s="1"/>
  <c r="A67" i="14"/>
  <c r="A68" i="14"/>
  <c r="H68" i="14" s="1"/>
  <c r="A69" i="14"/>
  <c r="H69" i="14" s="1"/>
  <c r="A70" i="14"/>
  <c r="H70" i="14" s="1"/>
  <c r="A71" i="14"/>
  <c r="H71" i="14" s="1"/>
  <c r="A72" i="14"/>
  <c r="H72" i="14" s="1"/>
  <c r="A73" i="14"/>
  <c r="A74" i="14"/>
  <c r="H74" i="14"/>
  <c r="A75" i="14"/>
  <c r="A76" i="14"/>
  <c r="H76" i="14" s="1"/>
  <c r="A77" i="14"/>
  <c r="A78" i="14"/>
  <c r="A79" i="14"/>
  <c r="A80" i="14"/>
  <c r="H80" i="14" s="1"/>
  <c r="A81" i="14"/>
  <c r="H81" i="14" s="1"/>
  <c r="A82" i="14"/>
  <c r="A83" i="14"/>
  <c r="A84" i="14"/>
  <c r="H84" i="14" s="1"/>
  <c r="A85" i="14"/>
  <c r="H85" i="14" s="1"/>
  <c r="A86" i="14"/>
  <c r="A87" i="14"/>
  <c r="A88" i="14"/>
  <c r="H88" i="14" s="1"/>
  <c r="A89" i="14"/>
  <c r="H89" i="14" s="1"/>
  <c r="A90" i="14"/>
  <c r="A91" i="14"/>
  <c r="A92" i="14"/>
  <c r="A93" i="14"/>
  <c r="H93" i="14" s="1"/>
  <c r="A94" i="14"/>
  <c r="H94" i="14" s="1"/>
  <c r="A95" i="14"/>
  <c r="A96" i="14"/>
  <c r="H96" i="14" s="1"/>
  <c r="A97" i="14"/>
  <c r="H97" i="14" s="1"/>
  <c r="A98" i="14"/>
  <c r="A99" i="14"/>
  <c r="A100" i="14"/>
  <c r="H100" i="14" s="1"/>
  <c r="A101" i="14"/>
  <c r="H101" i="14" s="1"/>
  <c r="A102" i="14"/>
  <c r="H102" i="14" s="1"/>
  <c r="A103" i="14"/>
  <c r="A104" i="14"/>
  <c r="H104" i="14" s="1"/>
  <c r="A105" i="14"/>
  <c r="H105" i="14" s="1"/>
  <c r="A106" i="14"/>
  <c r="A107" i="14"/>
  <c r="A108" i="14"/>
  <c r="A109" i="14"/>
  <c r="H109" i="14" s="1"/>
  <c r="A110" i="14"/>
  <c r="H110" i="14" s="1"/>
  <c r="A111" i="14"/>
  <c r="A112" i="14"/>
  <c r="H112" i="14" s="1"/>
  <c r="A113" i="14"/>
  <c r="H113" i="14" s="1"/>
  <c r="A114" i="14"/>
  <c r="A115" i="14"/>
  <c r="A116" i="14"/>
  <c r="H116" i="14" s="1"/>
  <c r="A117" i="14"/>
  <c r="H117" i="14" s="1"/>
  <c r="A140" i="14"/>
  <c r="H140" i="14" s="1"/>
  <c r="A141" i="14"/>
  <c r="A142" i="14"/>
  <c r="H142" i="14" s="1"/>
  <c r="A143" i="14"/>
  <c r="H143" i="14" s="1"/>
  <c r="A144" i="14"/>
  <c r="A145" i="14"/>
  <c r="A2" i="14"/>
  <c r="H2" i="14" s="1"/>
  <c r="H78" i="14"/>
  <c r="H79" i="14"/>
  <c r="H82" i="14"/>
  <c r="H83" i="14"/>
  <c r="H86" i="14"/>
  <c r="H87" i="14"/>
  <c r="H90" i="14"/>
  <c r="H91" i="14"/>
  <c r="H92" i="14"/>
  <c r="H95" i="14"/>
  <c r="H98" i="14"/>
  <c r="H99" i="14"/>
  <c r="H103" i="14"/>
  <c r="H106" i="14"/>
  <c r="H107" i="14"/>
  <c r="H108" i="14"/>
  <c r="H111" i="14"/>
  <c r="H114" i="14"/>
  <c r="H115" i="14"/>
  <c r="H141" i="14"/>
  <c r="H144" i="14"/>
  <c r="H145" i="14"/>
  <c r="H73" i="14"/>
  <c r="H75" i="14"/>
  <c r="H77" i="14"/>
  <c r="H35" i="14"/>
  <c r="H51" i="14"/>
  <c r="H67" i="14"/>
  <c r="H3" i="14"/>
  <c r="H11" i="14"/>
  <c r="O16" i="12"/>
  <c r="O13" i="12"/>
  <c r="O7" i="12"/>
  <c r="O2" i="12"/>
  <c r="O17" i="12"/>
  <c r="O12" i="12"/>
  <c r="O14" i="12"/>
  <c r="O9" i="12"/>
  <c r="O3" i="12"/>
  <c r="O10" i="12"/>
  <c r="O4" i="12"/>
  <c r="O5" i="12"/>
  <c r="O6" i="12"/>
  <c r="O8" i="12"/>
  <c r="O11" i="12"/>
  <c r="O15" i="12"/>
  <c r="B4" i="12"/>
  <c r="E4" i="12"/>
  <c r="G4" i="12" s="1"/>
  <c r="H4" i="12"/>
  <c r="B3" i="12"/>
  <c r="E3" i="12"/>
  <c r="G3" i="12" s="1"/>
  <c r="H3" i="12"/>
  <c r="B2" i="12"/>
  <c r="E2" i="12"/>
  <c r="G2" i="12" s="1"/>
  <c r="H2" i="12"/>
  <c r="B8" i="12"/>
  <c r="E8" i="12"/>
  <c r="G8" i="12" s="1"/>
  <c r="H8" i="12"/>
  <c r="B5" i="12"/>
  <c r="E5" i="12"/>
  <c r="G5" i="12" s="1"/>
  <c r="H5" i="12"/>
  <c r="B10" i="12"/>
  <c r="E10" i="12"/>
  <c r="G10" i="12" s="1"/>
  <c r="H10" i="12"/>
  <c r="B9" i="12"/>
  <c r="E9" i="12"/>
  <c r="G9" i="12" s="1"/>
  <c r="H9" i="12"/>
  <c r="B13" i="12"/>
  <c r="E13" i="12"/>
  <c r="G13" i="12" s="1"/>
  <c r="H13" i="12"/>
  <c r="B6" i="12"/>
  <c r="E6" i="12"/>
  <c r="G6" i="12" s="1"/>
  <c r="H6" i="12"/>
  <c r="B11" i="12"/>
  <c r="E11" i="12"/>
  <c r="G11" i="12" s="1"/>
  <c r="H11" i="12"/>
  <c r="B15" i="12"/>
  <c r="E15" i="12"/>
  <c r="G15" i="12" s="1"/>
  <c r="H15" i="12"/>
  <c r="B17" i="12"/>
  <c r="E17" i="12"/>
  <c r="G17" i="12" s="1"/>
  <c r="H17" i="12"/>
  <c r="B14" i="12"/>
  <c r="E14" i="12"/>
  <c r="G14" i="12" s="1"/>
  <c r="H14" i="12"/>
  <c r="B12" i="12"/>
  <c r="E12" i="12"/>
  <c r="G12" i="12" s="1"/>
  <c r="H12" i="12"/>
  <c r="B7" i="12"/>
  <c r="E7" i="12"/>
  <c r="G7" i="12" s="1"/>
  <c r="H7" i="12"/>
  <c r="H8" i="16"/>
  <c r="H6" i="16"/>
  <c r="H2" i="16"/>
  <c r="F2" i="6"/>
  <c r="U21" i="16"/>
  <c r="U7" i="16"/>
  <c r="U15" i="16"/>
  <c r="U5" i="16"/>
  <c r="U20" i="16"/>
  <c r="U10" i="16"/>
  <c r="U17" i="16"/>
  <c r="U9" i="16"/>
  <c r="U14" i="16"/>
  <c r="U6" i="16"/>
  <c r="U4" i="16"/>
  <c r="U8" i="16"/>
  <c r="U3" i="16"/>
  <c r="U11" i="16"/>
  <c r="U16" i="16"/>
  <c r="U18" i="16"/>
  <c r="U12" i="16"/>
  <c r="U19" i="16"/>
  <c r="U2" i="16"/>
  <c r="U22" i="16"/>
  <c r="U13" i="16"/>
  <c r="U23" i="16"/>
  <c r="H12" i="16"/>
  <c r="H17" i="16"/>
  <c r="H23" i="16"/>
  <c r="H7" i="16"/>
  <c r="O23" i="16"/>
  <c r="M23" i="16"/>
  <c r="O19" i="16"/>
  <c r="M19" i="16"/>
  <c r="O18" i="16"/>
  <c r="M18" i="16"/>
  <c r="O21" i="16"/>
  <c r="M21" i="16"/>
  <c r="O8" i="16"/>
  <c r="M8" i="16"/>
  <c r="O6" i="16"/>
  <c r="M6" i="16"/>
  <c r="O22" i="16"/>
  <c r="M22" i="16"/>
  <c r="O20" i="16"/>
  <c r="M20" i="16"/>
  <c r="H20" i="16"/>
  <c r="O16" i="16"/>
  <c r="M16" i="16"/>
  <c r="O17" i="16"/>
  <c r="M17" i="16"/>
  <c r="O14" i="16"/>
  <c r="M14" i="16"/>
  <c r="O15" i="16"/>
  <c r="M15" i="16"/>
  <c r="O13" i="16"/>
  <c r="M13" i="16"/>
  <c r="O12" i="16"/>
  <c r="M12" i="16"/>
  <c r="O11" i="16"/>
  <c r="M11" i="16"/>
  <c r="O10" i="16"/>
  <c r="M10" i="16"/>
  <c r="O9" i="16"/>
  <c r="M9" i="16"/>
  <c r="O7" i="16"/>
  <c r="M7" i="16"/>
  <c r="O5" i="16"/>
  <c r="M5" i="16"/>
  <c r="O4" i="16"/>
  <c r="M4" i="16"/>
  <c r="H4" i="16"/>
  <c r="O2" i="16"/>
  <c r="M2" i="16"/>
  <c r="O3" i="16"/>
  <c r="M3" i="16"/>
  <c r="H22" i="16"/>
  <c r="H13" i="16"/>
  <c r="H41" i="6"/>
  <c r="H43" i="6"/>
  <c r="H42" i="6"/>
  <c r="H44" i="6"/>
  <c r="H45" i="6"/>
  <c r="H49" i="6"/>
  <c r="H50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20" i="6"/>
  <c r="H18" i="6"/>
  <c r="H19" i="6"/>
  <c r="H21" i="6"/>
  <c r="H22" i="6"/>
  <c r="H23" i="6"/>
  <c r="H24" i="6"/>
  <c r="H25" i="6"/>
  <c r="H27" i="6"/>
  <c r="H26" i="6"/>
  <c r="H28" i="6"/>
  <c r="H29" i="6"/>
  <c r="H30" i="6"/>
  <c r="H31" i="6"/>
  <c r="H33" i="6"/>
  <c r="H32" i="6"/>
  <c r="H34" i="6"/>
  <c r="H35" i="6"/>
  <c r="H36" i="6"/>
  <c r="H37" i="6"/>
  <c r="H38" i="6"/>
  <c r="H39" i="6"/>
  <c r="H40" i="6"/>
  <c r="F41" i="6"/>
  <c r="L19" i="1"/>
  <c r="L18" i="1"/>
  <c r="L7" i="1"/>
  <c r="L14" i="1"/>
  <c r="L5" i="1"/>
  <c r="L15" i="1"/>
  <c r="L26" i="1"/>
  <c r="L22" i="1"/>
  <c r="L51" i="15"/>
  <c r="L37" i="15"/>
  <c r="L65" i="15"/>
  <c r="L93" i="15"/>
  <c r="L59" i="15"/>
  <c r="L6" i="15"/>
  <c r="L18" i="15"/>
  <c r="L97" i="15"/>
  <c r="L10" i="15"/>
  <c r="L43" i="15"/>
  <c r="L70" i="15"/>
  <c r="L103" i="15"/>
  <c r="L40" i="15"/>
  <c r="L60" i="15"/>
  <c r="L78" i="15"/>
  <c r="L42" i="15"/>
  <c r="L71" i="15"/>
  <c r="L62" i="15"/>
  <c r="L49" i="15"/>
  <c r="L23" i="15"/>
  <c r="L12" i="15"/>
  <c r="L21" i="15"/>
  <c r="L64" i="15"/>
  <c r="L30" i="15"/>
  <c r="L127" i="15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20" i="6"/>
  <c r="F18" i="6"/>
  <c r="F19" i="6"/>
  <c r="F21" i="6"/>
  <c r="F22" i="6"/>
  <c r="F23" i="6"/>
  <c r="F24" i="6"/>
  <c r="F25" i="6"/>
  <c r="F27" i="6"/>
  <c r="F26" i="6"/>
  <c r="F28" i="6"/>
  <c r="F29" i="6"/>
  <c r="F30" i="6"/>
  <c r="F31" i="6"/>
  <c r="F33" i="6"/>
  <c r="F32" i="6"/>
  <c r="F34" i="6"/>
  <c r="F35" i="6"/>
  <c r="F36" i="6"/>
  <c r="F37" i="6"/>
  <c r="F38" i="6"/>
  <c r="F39" i="6"/>
  <c r="F40" i="6"/>
  <c r="F43" i="6"/>
  <c r="F42" i="6"/>
  <c r="F44" i="6"/>
  <c r="F45" i="6"/>
  <c r="F49" i="6"/>
  <c r="F50" i="6"/>
  <c r="N13" i="3"/>
  <c r="N6" i="3"/>
  <c r="N29" i="3"/>
  <c r="N34" i="3"/>
  <c r="N22" i="3"/>
  <c r="N37" i="3"/>
  <c r="N4" i="3"/>
  <c r="N26" i="3"/>
  <c r="N36" i="3"/>
  <c r="N17" i="3"/>
  <c r="N16" i="3"/>
  <c r="N20" i="3"/>
  <c r="N14" i="3"/>
  <c r="N10" i="3"/>
  <c r="N11" i="3"/>
  <c r="N30" i="3"/>
  <c r="N12" i="3"/>
  <c r="N24" i="3"/>
  <c r="N21" i="3"/>
  <c r="N39" i="3"/>
  <c r="N7" i="3"/>
  <c r="N2" i="3"/>
  <c r="N38" i="3"/>
  <c r="N28" i="3"/>
  <c r="N31" i="3"/>
  <c r="N41" i="3"/>
  <c r="N18" i="3"/>
  <c r="N33" i="3"/>
  <c r="N23" i="3"/>
  <c r="N42" i="3"/>
  <c r="N27" i="3"/>
  <c r="N35" i="3"/>
  <c r="N8" i="3"/>
  <c r="N3" i="3"/>
  <c r="N9" i="3"/>
  <c r="N15" i="3"/>
  <c r="N5" i="3"/>
  <c r="N25" i="3"/>
  <c r="N32" i="3"/>
  <c r="N19" i="3"/>
  <c r="N40" i="3"/>
  <c r="O2" i="11"/>
  <c r="O29" i="8"/>
  <c r="O24" i="8"/>
  <c r="O36" i="8"/>
  <c r="O16" i="8"/>
  <c r="O31" i="8"/>
  <c r="O21" i="8"/>
  <c r="O35" i="8"/>
  <c r="O26" i="8"/>
  <c r="O19" i="8"/>
  <c r="O39" i="8"/>
  <c r="O20" i="8"/>
  <c r="O14" i="8"/>
  <c r="O32" i="8"/>
  <c r="O8" i="8"/>
  <c r="O28" i="8"/>
  <c r="O33" i="8"/>
  <c r="O2" i="8"/>
  <c r="O15" i="8"/>
  <c r="O17" i="8"/>
  <c r="O22" i="8"/>
  <c r="O7" i="8"/>
  <c r="O34" i="8"/>
  <c r="O5" i="8"/>
  <c r="O25" i="8"/>
  <c r="O30" i="8"/>
  <c r="O10" i="8"/>
  <c r="O18" i="8"/>
  <c r="O38" i="8"/>
  <c r="O3" i="8"/>
  <c r="O12" i="8"/>
  <c r="O4" i="8"/>
  <c r="O37" i="8"/>
  <c r="O11" i="8"/>
  <c r="O13" i="8"/>
  <c r="O23" i="8"/>
  <c r="O9" i="8"/>
  <c r="O6" i="8"/>
  <c r="O27" i="8"/>
  <c r="X30" i="8"/>
  <c r="X37" i="8"/>
  <c r="X18" i="8"/>
  <c r="X9" i="8"/>
  <c r="X4" i="8"/>
  <c r="X20" i="8"/>
  <c r="X12" i="8"/>
  <c r="X36" i="8"/>
  <c r="X16" i="8"/>
  <c r="X38" i="8"/>
  <c r="X28" i="8"/>
  <c r="X8" i="8"/>
  <c r="X17" i="8"/>
  <c r="X32" i="8"/>
  <c r="X34" i="8"/>
  <c r="X11" i="8"/>
  <c r="X25" i="8"/>
  <c r="X31" i="8"/>
  <c r="X29" i="8"/>
  <c r="X39" i="8"/>
  <c r="X33" i="8"/>
  <c r="X23" i="8"/>
  <c r="X19" i="8"/>
  <c r="X2" i="8"/>
  <c r="X35" i="8"/>
  <c r="X3" i="8"/>
  <c r="X27" i="8"/>
  <c r="X6" i="8"/>
  <c r="X15" i="8"/>
  <c r="X7" i="8"/>
  <c r="X26" i="8"/>
  <c r="X10" i="8"/>
  <c r="X22" i="8"/>
  <c r="X13" i="8"/>
  <c r="X14" i="8"/>
  <c r="X21" i="8"/>
  <c r="X5" i="8"/>
  <c r="X24" i="8"/>
  <c r="J25" i="8"/>
  <c r="J13" i="8"/>
  <c r="J11" i="8"/>
  <c r="J17" i="8"/>
  <c r="J6" i="8"/>
  <c r="J33" i="8"/>
  <c r="J8" i="8"/>
  <c r="J39" i="8"/>
  <c r="J3" i="8"/>
  <c r="J21" i="8"/>
  <c r="J12" i="8"/>
  <c r="J2" i="8"/>
  <c r="J35" i="8"/>
  <c r="J26" i="8"/>
  <c r="J20" i="8"/>
  <c r="J16" i="8"/>
  <c r="J38" i="8"/>
  <c r="J10" i="8"/>
  <c r="J29" i="8"/>
  <c r="N25" i="8"/>
  <c r="N11" i="8"/>
  <c r="N17" i="8"/>
  <c r="N6" i="8"/>
  <c r="N33" i="8"/>
  <c r="N8" i="8"/>
  <c r="N39" i="8"/>
  <c r="N3" i="8"/>
  <c r="N21" i="8"/>
  <c r="N13" i="8"/>
  <c r="N12" i="8"/>
  <c r="N2" i="8"/>
  <c r="N35" i="8"/>
  <c r="N26" i="8"/>
  <c r="N20" i="8"/>
  <c r="N16" i="8"/>
  <c r="N38" i="8"/>
  <c r="N10" i="8"/>
  <c r="N29" i="8"/>
  <c r="E8" i="5"/>
  <c r="Q11" i="8"/>
  <c r="Q38" i="8"/>
  <c r="Q35" i="8"/>
  <c r="Q39" i="8"/>
  <c r="Q13" i="8"/>
  <c r="Q16" i="8"/>
  <c r="Q2" i="8"/>
  <c r="Q8" i="8"/>
  <c r="Q25" i="8"/>
  <c r="Q20" i="8"/>
  <c r="Q12" i="8"/>
  <c r="Q9" i="8"/>
  <c r="J28" i="8"/>
  <c r="J14" i="8"/>
  <c r="J23" i="8"/>
  <c r="J15" i="8"/>
  <c r="J22" i="8"/>
  <c r="J9" i="8"/>
  <c r="J32" i="8"/>
  <c r="J24" i="8"/>
  <c r="J30" i="8"/>
  <c r="J4" i="8"/>
  <c r="J37" i="8"/>
  <c r="J19" i="8"/>
  <c r="J5" i="8"/>
  <c r="J31" i="8"/>
  <c r="J34" i="8"/>
  <c r="J18" i="8"/>
  <c r="J7" i="8"/>
  <c r="N28" i="8"/>
  <c r="N14" i="8"/>
  <c r="N23" i="8"/>
  <c r="N15" i="8"/>
  <c r="N22" i="8"/>
  <c r="N9" i="8"/>
  <c r="N32" i="8"/>
  <c r="N24" i="8"/>
  <c r="N30" i="8"/>
  <c r="N4" i="8"/>
  <c r="N27" i="8"/>
  <c r="N31" i="8"/>
  <c r="N36" i="8"/>
  <c r="N19" i="8"/>
  <c r="N5" i="8"/>
  <c r="N34" i="8"/>
  <c r="N18" i="8"/>
  <c r="N7" i="8"/>
  <c r="N37" i="8"/>
  <c r="J27" i="8"/>
  <c r="T34" i="13"/>
  <c r="T57" i="13"/>
  <c r="T30" i="13"/>
  <c r="T20" i="13"/>
  <c r="T47" i="13"/>
  <c r="T32" i="13"/>
  <c r="T36" i="13"/>
  <c r="T8" i="13"/>
  <c r="T14" i="13"/>
  <c r="T9" i="13"/>
  <c r="T29" i="13"/>
  <c r="T4" i="13"/>
  <c r="T13" i="13"/>
  <c r="T27" i="13"/>
  <c r="T28" i="13"/>
  <c r="T54" i="13"/>
  <c r="T44" i="13"/>
  <c r="T46" i="13"/>
  <c r="T15" i="13"/>
  <c r="T40" i="13"/>
  <c r="T24" i="13"/>
  <c r="T19" i="13"/>
  <c r="T18" i="13"/>
  <c r="T12" i="13"/>
  <c r="T39" i="13"/>
  <c r="T53" i="13"/>
  <c r="T35" i="13"/>
  <c r="T52" i="13"/>
  <c r="T45" i="13"/>
  <c r="T7" i="13"/>
  <c r="T25" i="13"/>
  <c r="T38" i="13"/>
  <c r="T49" i="13"/>
  <c r="T41" i="13"/>
  <c r="T11" i="13"/>
  <c r="T5" i="13"/>
  <c r="T3" i="13"/>
  <c r="T26" i="13"/>
  <c r="T2" i="13"/>
  <c r="T22" i="13"/>
  <c r="T17" i="13"/>
  <c r="T10" i="13"/>
  <c r="T31" i="13"/>
  <c r="T23" i="13"/>
  <c r="R35" i="13"/>
  <c r="R34" i="13"/>
  <c r="R11" i="13"/>
  <c r="R17" i="13"/>
  <c r="R45" i="13"/>
  <c r="R31" i="13"/>
  <c r="R3" i="13"/>
  <c r="R20" i="13"/>
  <c r="R22" i="13"/>
  <c r="R4" i="13"/>
  <c r="R21" i="13"/>
  <c r="R41" i="13"/>
  <c r="R27" i="13"/>
  <c r="R7" i="13"/>
  <c r="R32" i="13"/>
  <c r="R43" i="13"/>
  <c r="R18" i="13"/>
  <c r="R5" i="13"/>
  <c r="R12" i="13"/>
  <c r="R44" i="13"/>
  <c r="R33" i="13"/>
  <c r="R8" i="13"/>
  <c r="R24" i="13"/>
  <c r="R23" i="13"/>
  <c r="R39" i="13"/>
  <c r="R14" i="13"/>
  <c r="R42" i="13"/>
  <c r="R19" i="13"/>
  <c r="R38" i="13"/>
  <c r="R13" i="13"/>
  <c r="R36" i="13"/>
  <c r="R40" i="13"/>
  <c r="R15" i="13"/>
  <c r="R10" i="13"/>
  <c r="R26" i="13"/>
  <c r="R30" i="13"/>
  <c r="R6" i="13"/>
  <c r="R29" i="13"/>
  <c r="R37" i="13"/>
  <c r="R16" i="13"/>
  <c r="R25" i="13"/>
  <c r="R28" i="13"/>
  <c r="R2" i="13"/>
  <c r="R9" i="13"/>
  <c r="N35" i="13"/>
  <c r="N34" i="13"/>
  <c r="N11" i="13"/>
  <c r="N17" i="13"/>
  <c r="N45" i="13"/>
  <c r="N31" i="13"/>
  <c r="N3" i="13"/>
  <c r="N20" i="13"/>
  <c r="N22" i="13"/>
  <c r="N4" i="13"/>
  <c r="N21" i="13"/>
  <c r="N41" i="13"/>
  <c r="N27" i="13"/>
  <c r="N7" i="13"/>
  <c r="N32" i="13"/>
  <c r="N43" i="13"/>
  <c r="N18" i="13"/>
  <c r="N5" i="13"/>
  <c r="N12" i="13"/>
  <c r="N44" i="13"/>
  <c r="N33" i="13"/>
  <c r="N8" i="13"/>
  <c r="N24" i="13"/>
  <c r="N23" i="13"/>
  <c r="N39" i="13"/>
  <c r="N14" i="13"/>
  <c r="N42" i="13"/>
  <c r="N19" i="13"/>
  <c r="N38" i="13"/>
  <c r="N13" i="13"/>
  <c r="N36" i="13"/>
  <c r="N40" i="13"/>
  <c r="N15" i="13"/>
  <c r="N10" i="13"/>
  <c r="N26" i="13"/>
  <c r="N30" i="13"/>
  <c r="N6" i="13"/>
  <c r="N29" i="13"/>
  <c r="N37" i="13"/>
  <c r="N16" i="13"/>
  <c r="N25" i="13"/>
  <c r="N28" i="13"/>
  <c r="N2" i="13"/>
  <c r="N9" i="13"/>
  <c r="E3" i="5"/>
  <c r="K42" i="13"/>
  <c r="K38" i="13"/>
  <c r="K34" i="13"/>
  <c r="K30" i="13"/>
  <c r="K26" i="13"/>
  <c r="K22" i="1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2" i="3"/>
  <c r="X21" i="11"/>
  <c r="X34" i="11"/>
  <c r="X35" i="11"/>
  <c r="X19" i="11"/>
  <c r="X30" i="11"/>
  <c r="X37" i="11"/>
  <c r="X3" i="11"/>
  <c r="X17" i="11"/>
  <c r="X32" i="11"/>
  <c r="X29" i="11"/>
  <c r="X11" i="11"/>
  <c r="X13" i="11"/>
  <c r="X15" i="11"/>
  <c r="X2" i="11"/>
  <c r="X27" i="11"/>
  <c r="X20" i="11"/>
  <c r="X4" i="11"/>
  <c r="X26" i="11"/>
  <c r="X18" i="11"/>
  <c r="X10" i="11"/>
  <c r="X8" i="11"/>
  <c r="X16" i="11"/>
  <c r="X24" i="11"/>
  <c r="X14" i="11"/>
  <c r="X5" i="11"/>
  <c r="X12" i="11"/>
  <c r="X28" i="11"/>
  <c r="X6" i="11"/>
  <c r="X9" i="11"/>
  <c r="X7" i="11"/>
  <c r="X33" i="11"/>
  <c r="X36" i="11"/>
  <c r="X22" i="11"/>
  <c r="X31" i="11"/>
  <c r="X25" i="11"/>
  <c r="X23" i="11"/>
  <c r="E64" i="1"/>
  <c r="E63" i="1" s="1"/>
  <c r="H2" i="11"/>
  <c r="J5" i="11"/>
  <c r="N6" i="11"/>
  <c r="N7" i="11"/>
  <c r="N3" i="11"/>
  <c r="J23" i="11"/>
  <c r="N9" i="11"/>
  <c r="N14" i="11"/>
  <c r="N37" i="11"/>
  <c r="N24" i="11"/>
  <c r="N8" i="11"/>
  <c r="N28" i="11"/>
  <c r="J27" i="11"/>
  <c r="N12" i="11"/>
  <c r="N18" i="11"/>
  <c r="J6" i="11"/>
  <c r="N11" i="11"/>
  <c r="J16" i="11"/>
  <c r="N29" i="11"/>
  <c r="J36" i="11"/>
  <c r="N17" i="11"/>
  <c r="J29" i="11"/>
  <c r="N15" i="11"/>
  <c r="N23" i="11"/>
  <c r="E18" i="5"/>
  <c r="F21" i="11"/>
  <c r="J13" i="11"/>
  <c r="F13" i="11"/>
  <c r="F14" i="11"/>
  <c r="F37" i="11"/>
  <c r="F26" i="11"/>
  <c r="F33" i="11"/>
  <c r="I33" i="11" s="1"/>
  <c r="J15" i="11"/>
  <c r="F15" i="11"/>
  <c r="F23" i="11"/>
  <c r="J3" i="11"/>
  <c r="F3" i="11"/>
  <c r="F11" i="11"/>
  <c r="F28" i="11"/>
  <c r="F34" i="11"/>
  <c r="I34" i="11" s="1"/>
  <c r="F36" i="11"/>
  <c r="F17" i="11"/>
  <c r="F24" i="11"/>
  <c r="F16" i="11"/>
  <c r="F20" i="11"/>
  <c r="F6" i="11"/>
  <c r="F35" i="11"/>
  <c r="H29" i="7"/>
  <c r="I36" i="7"/>
  <c r="I35" i="7"/>
  <c r="E6" i="5"/>
  <c r="E14" i="5"/>
  <c r="H12" i="7"/>
  <c r="H13" i="7"/>
  <c r="H14" i="7"/>
  <c r="H15" i="7"/>
  <c r="H16" i="7"/>
  <c r="H17" i="7"/>
  <c r="H18" i="7"/>
  <c r="H19" i="7"/>
  <c r="E10" i="5"/>
  <c r="E15" i="5"/>
  <c r="E12" i="5"/>
  <c r="E16" i="5"/>
  <c r="E13" i="5"/>
  <c r="E7" i="5"/>
  <c r="E17" i="5"/>
  <c r="E21" i="5"/>
  <c r="E4" i="5"/>
  <c r="E5" i="5"/>
  <c r="E19" i="5"/>
  <c r="E11" i="5"/>
  <c r="E9" i="5"/>
  <c r="E20" i="5"/>
  <c r="E238" i="15"/>
  <c r="K50" i="3"/>
  <c r="K48" i="3"/>
  <c r="K49" i="3"/>
  <c r="K51" i="3"/>
  <c r="F17" i="3"/>
  <c r="F11" i="3"/>
  <c r="F21" i="3"/>
  <c r="F23" i="3"/>
  <c r="F38" i="3"/>
  <c r="F41" i="3"/>
  <c r="F14" i="3"/>
  <c r="F2" i="3"/>
  <c r="F5" i="3"/>
  <c r="F18" i="3"/>
  <c r="F9" i="3"/>
  <c r="F22" i="3"/>
  <c r="F19" i="3"/>
  <c r="F40" i="3"/>
  <c r="F28" i="3"/>
  <c r="F10" i="3"/>
  <c r="F27" i="3"/>
  <c r="I27" i="3"/>
  <c r="F7" i="3"/>
  <c r="F30" i="3"/>
  <c r="F20" i="3"/>
  <c r="I20" i="3"/>
  <c r="F26" i="3"/>
  <c r="F24" i="3"/>
  <c r="F25" i="3"/>
  <c r="I25" i="3"/>
  <c r="F6" i="3"/>
  <c r="F29" i="3"/>
  <c r="F4" i="3"/>
  <c r="F42" i="3"/>
  <c r="F16" i="3"/>
  <c r="F34" i="3"/>
  <c r="F37" i="3"/>
  <c r="I37" i="3"/>
  <c r="F3" i="3"/>
  <c r="F35" i="3"/>
  <c r="F33" i="3"/>
  <c r="F8" i="3"/>
  <c r="F12" i="3"/>
  <c r="F39" i="3"/>
  <c r="F15" i="3"/>
  <c r="F32" i="3"/>
  <c r="I32" i="3"/>
  <c r="F36" i="3"/>
  <c r="F31" i="3"/>
  <c r="F13" i="3"/>
  <c r="J16" i="3"/>
  <c r="J35" i="3"/>
  <c r="P4" i="3"/>
  <c r="P42" i="3"/>
  <c r="P16" i="3"/>
  <c r="P34" i="3"/>
  <c r="P37" i="3"/>
  <c r="J3" i="3"/>
  <c r="P3" i="3"/>
  <c r="P35" i="3"/>
  <c r="P33" i="3"/>
  <c r="J8" i="3"/>
  <c r="P8" i="3"/>
  <c r="J12" i="3"/>
  <c r="P12" i="3"/>
  <c r="J39" i="3"/>
  <c r="P39" i="3"/>
  <c r="P15" i="3"/>
  <c r="I21" i="12"/>
  <c r="I34" i="7"/>
  <c r="K43" i="11"/>
  <c r="P22" i="3"/>
  <c r="P19" i="3"/>
  <c r="P40" i="3"/>
  <c r="P28" i="3"/>
  <c r="P10" i="3"/>
  <c r="P27" i="3"/>
  <c r="P7" i="3"/>
  <c r="P30" i="3"/>
  <c r="P20" i="3"/>
  <c r="P26" i="3"/>
  <c r="P24" i="3"/>
  <c r="P25" i="3"/>
  <c r="P6" i="3"/>
  <c r="P29" i="3"/>
  <c r="P17" i="3"/>
  <c r="P11" i="3"/>
  <c r="P21" i="3"/>
  <c r="P23" i="3"/>
  <c r="P38" i="3"/>
  <c r="P41" i="3"/>
  <c r="P14" i="3"/>
  <c r="P2" i="3"/>
  <c r="P5" i="3"/>
  <c r="P18" i="3"/>
  <c r="P9" i="3"/>
  <c r="P32" i="3"/>
  <c r="P36" i="3"/>
  <c r="P31" i="3"/>
  <c r="P13" i="3"/>
  <c r="E16" i="12"/>
  <c r="G16" i="12" s="1"/>
  <c r="H11" i="7"/>
  <c r="H26" i="7"/>
  <c r="H9" i="7"/>
  <c r="H23" i="7"/>
  <c r="H20" i="7"/>
  <c r="H28" i="7"/>
  <c r="H24" i="7"/>
  <c r="H5" i="7"/>
  <c r="H6" i="7"/>
  <c r="H22" i="7"/>
  <c r="H8" i="7"/>
  <c r="H2" i="7"/>
  <c r="G52" i="6"/>
  <c r="H2" i="6"/>
  <c r="D2" i="6"/>
  <c r="L17" i="1" s="1"/>
  <c r="F5" i="11"/>
  <c r="I5" i="11" s="1"/>
  <c r="F2" i="11"/>
  <c r="F9" i="11"/>
  <c r="F10" i="11"/>
  <c r="I10" i="11" s="1"/>
  <c r="F4" i="11"/>
  <c r="F19" i="11"/>
  <c r="F25" i="11"/>
  <c r="F27" i="11"/>
  <c r="I27" i="11" s="1"/>
  <c r="F22" i="11"/>
  <c r="F8" i="11"/>
  <c r="F32" i="11"/>
  <c r="F7" i="11"/>
  <c r="F29" i="11"/>
  <c r="F31" i="11"/>
  <c r="F30" i="11"/>
  <c r="F18" i="11"/>
  <c r="F12" i="11"/>
  <c r="E26" i="5"/>
  <c r="E2" i="5"/>
  <c r="Q3" i="8"/>
  <c r="Q17" i="8"/>
  <c r="Q21" i="8"/>
  <c r="Q19" i="8"/>
  <c r="Q30" i="8"/>
  <c r="Q32" i="8"/>
  <c r="Q23" i="8"/>
  <c r="Q6" i="8"/>
  <c r="Q27" i="8"/>
  <c r="Q37" i="8"/>
  <c r="Q26" i="8"/>
  <c r="Q18" i="8"/>
  <c r="Q24" i="8"/>
  <c r="Q5" i="8"/>
  <c r="Q34" i="8"/>
  <c r="Q15" i="8"/>
  <c r="Q31" i="8"/>
  <c r="Q33" i="8"/>
  <c r="Q4" i="8"/>
  <c r="Q36" i="8"/>
  <c r="Q7" i="8"/>
  <c r="Q22" i="8"/>
  <c r="Q28" i="8"/>
  <c r="Q10" i="8"/>
  <c r="Q29" i="8"/>
  <c r="Q14" i="8"/>
  <c r="J32" i="3"/>
  <c r="J31" i="3"/>
  <c r="J27" i="3"/>
  <c r="J24" i="3"/>
  <c r="J40" i="3"/>
  <c r="J10" i="3"/>
  <c r="J25" i="3"/>
  <c r="J29" i="3"/>
  <c r="J26" i="3"/>
  <c r="J6" i="3"/>
  <c r="J28" i="3"/>
  <c r="J30" i="3"/>
  <c r="J13" i="3"/>
  <c r="J22" i="3"/>
  <c r="K18" i="13"/>
  <c r="K14" i="13"/>
  <c r="K10" i="13"/>
  <c r="K6" i="13"/>
  <c r="K2" i="13"/>
  <c r="E27" i="5"/>
  <c r="I33" i="7"/>
  <c r="H16" i="12"/>
  <c r="B16" i="12"/>
  <c r="H10" i="7"/>
  <c r="I10" i="3"/>
  <c r="I6" i="3"/>
  <c r="I22" i="3"/>
  <c r="I24" i="3"/>
  <c r="I26" i="3"/>
  <c r="J20" i="3"/>
  <c r="I31" i="3"/>
  <c r="I40" i="3"/>
  <c r="I35" i="3"/>
  <c r="I30" i="3"/>
  <c r="I3" i="3"/>
  <c r="I39" i="3"/>
  <c r="I8" i="3"/>
  <c r="I29" i="3"/>
  <c r="I28" i="3"/>
  <c r="I36" i="3"/>
  <c r="J36" i="3"/>
  <c r="I13" i="3"/>
  <c r="J15" i="3"/>
  <c r="I15" i="3"/>
  <c r="B25" i="7"/>
  <c r="H25" i="7"/>
  <c r="J4" i="3"/>
  <c r="I4" i="3"/>
  <c r="J33" i="3"/>
  <c r="I33" i="3"/>
  <c r="J34" i="3"/>
  <c r="I34" i="3"/>
  <c r="J19" i="3"/>
  <c r="I19" i="3"/>
  <c r="J7" i="3"/>
  <c r="I7" i="3"/>
  <c r="B10" i="7"/>
  <c r="J42" i="3"/>
  <c r="I42" i="3"/>
  <c r="J37" i="3"/>
  <c r="I12" i="3"/>
  <c r="I16" i="3"/>
  <c r="E25" i="5"/>
  <c r="B36" i="8"/>
  <c r="B22" i="8"/>
  <c r="B35" i="8"/>
  <c r="B9" i="8"/>
  <c r="B38" i="8"/>
  <c r="B11" i="8"/>
  <c r="B2" i="8"/>
  <c r="B20" i="8"/>
  <c r="B12" i="8"/>
  <c r="B8" i="8"/>
  <c r="B25" i="8"/>
  <c r="B16" i="8"/>
  <c r="B39" i="8"/>
  <c r="B13" i="8"/>
  <c r="B10" i="8"/>
  <c r="B34" i="8"/>
  <c r="B19" i="8"/>
  <c r="B7" i="8"/>
  <c r="B33" i="8"/>
  <c r="B23" i="8"/>
  <c r="B5" i="8"/>
  <c r="B17" i="8"/>
  <c r="B24" i="8"/>
  <c r="B27" i="8"/>
  <c r="B14" i="8"/>
  <c r="B37" i="8"/>
  <c r="B32" i="8"/>
  <c r="B18" i="8"/>
  <c r="B28" i="8"/>
  <c r="B3" i="8"/>
  <c r="B31" i="8"/>
  <c r="B15" i="8"/>
  <c r="B6" i="8"/>
  <c r="B4" i="8"/>
  <c r="B29" i="8"/>
  <c r="B30" i="8"/>
  <c r="B26" i="8"/>
  <c r="B21" i="8"/>
  <c r="I18" i="3"/>
  <c r="I23" i="3"/>
  <c r="J17" i="3"/>
  <c r="B29" i="7"/>
  <c r="B28" i="7"/>
  <c r="B21" i="7"/>
  <c r="J5" i="3"/>
  <c r="J14" i="3"/>
  <c r="I41" i="3"/>
  <c r="J38" i="3"/>
  <c r="I21" i="3"/>
  <c r="J11" i="3"/>
  <c r="I2" i="3"/>
  <c r="B7" i="7"/>
  <c r="B22" i="7"/>
  <c r="H3" i="7"/>
  <c r="B15" i="7"/>
  <c r="B3" i="7"/>
  <c r="B5" i="7"/>
  <c r="B23" i="7"/>
  <c r="B26" i="7"/>
  <c r="B24" i="7"/>
  <c r="B8" i="7"/>
  <c r="B20" i="7"/>
  <c r="H7" i="7"/>
  <c r="B6" i="7"/>
  <c r="H21" i="7"/>
  <c r="B9" i="7"/>
  <c r="H4" i="7"/>
  <c r="B18" i="7"/>
  <c r="B12" i="7"/>
  <c r="B13" i="7"/>
  <c r="B14" i="7"/>
  <c r="B4" i="7"/>
  <c r="B11" i="7"/>
  <c r="B2" i="7"/>
  <c r="B17" i="7"/>
  <c r="B19" i="7"/>
  <c r="B16" i="7"/>
  <c r="J9" i="3"/>
  <c r="I11" i="3"/>
  <c r="E29" i="5"/>
  <c r="J41" i="3"/>
  <c r="J18" i="3"/>
  <c r="I14" i="3"/>
  <c r="J69" i="13"/>
  <c r="I17" i="3"/>
  <c r="J21" i="3"/>
  <c r="B13" i="3"/>
  <c r="J23" i="3"/>
  <c r="B5" i="3"/>
  <c r="B32" i="3"/>
  <c r="I9" i="3"/>
  <c r="B41" i="3"/>
  <c r="B16" i="3"/>
  <c r="B31" i="3"/>
  <c r="I38" i="3"/>
  <c r="B29" i="3"/>
  <c r="B12" i="3"/>
  <c r="B37" i="3"/>
  <c r="B19" i="3"/>
  <c r="B30" i="3"/>
  <c r="B20" i="3"/>
  <c r="B21" i="3"/>
  <c r="B4" i="3"/>
  <c r="B40" i="3"/>
  <c r="B22" i="3"/>
  <c r="B17" i="3"/>
  <c r="B28" i="3"/>
  <c r="B33" i="3"/>
  <c r="B23" i="3"/>
  <c r="B2" i="3"/>
  <c r="B38" i="3"/>
  <c r="I5" i="3"/>
  <c r="B26" i="3"/>
  <c r="B39" i="3"/>
  <c r="B24" i="3"/>
  <c r="B3" i="3"/>
  <c r="B11" i="3"/>
  <c r="B7" i="3"/>
  <c r="B42" i="3"/>
  <c r="J2" i="3"/>
  <c r="B15" i="3"/>
  <c r="B10" i="3"/>
  <c r="B34" i="3"/>
  <c r="B35" i="3"/>
  <c r="B6" i="3"/>
  <c r="B8" i="3"/>
  <c r="I39" i="7"/>
  <c r="B36" i="3"/>
  <c r="B18" i="3"/>
  <c r="B27" i="3"/>
  <c r="B9" i="3"/>
  <c r="B14" i="3"/>
  <c r="B25" i="3"/>
  <c r="K48" i="8"/>
  <c r="A16" i="3"/>
  <c r="K16" i="3"/>
  <c r="A23" i="3"/>
  <c r="K23" i="3"/>
  <c r="A20" i="3"/>
  <c r="K20" i="3"/>
  <c r="A8" i="3"/>
  <c r="K8" i="3"/>
  <c r="A18" i="3"/>
  <c r="K18" i="3"/>
  <c r="A19" i="3"/>
  <c r="K19" i="3"/>
  <c r="A13" i="3"/>
  <c r="K13" i="3"/>
  <c r="A10" i="3"/>
  <c r="K10" i="3"/>
  <c r="A25" i="3"/>
  <c r="K25" i="3"/>
  <c r="A39" i="3"/>
  <c r="K39" i="3"/>
  <c r="A11" i="3"/>
  <c r="K11" i="3"/>
  <c r="A24" i="3"/>
  <c r="K24" i="3"/>
  <c r="A35" i="3"/>
  <c r="K35" i="3"/>
  <c r="A33" i="3"/>
  <c r="K33" i="3"/>
  <c r="A26" i="3"/>
  <c r="K26" i="3"/>
  <c r="A42" i="3"/>
  <c r="K42" i="3"/>
  <c r="A9" i="3"/>
  <c r="K9" i="3"/>
  <c r="A2" i="3"/>
  <c r="K2" i="3"/>
  <c r="A32" i="3"/>
  <c r="K32" i="3"/>
  <c r="A40" i="3"/>
  <c r="K40" i="3"/>
  <c r="A30" i="3"/>
  <c r="K30" i="3"/>
  <c r="A17" i="3"/>
  <c r="K17" i="3"/>
  <c r="A37" i="3"/>
  <c r="K37" i="3"/>
  <c r="A7" i="3"/>
  <c r="K7" i="3"/>
  <c r="A5" i="3"/>
  <c r="K5" i="3"/>
  <c r="A14" i="3"/>
  <c r="K14" i="3"/>
  <c r="A36" i="3"/>
  <c r="K36" i="3"/>
  <c r="A28" i="3"/>
  <c r="K28" i="3"/>
  <c r="A27" i="3"/>
  <c r="K27" i="3"/>
  <c r="A22" i="3"/>
  <c r="K22" i="3"/>
  <c r="A41" i="3"/>
  <c r="K41" i="3"/>
  <c r="A21" i="3"/>
  <c r="K21" i="3"/>
  <c r="A15" i="3"/>
  <c r="K15" i="3"/>
  <c r="A6" i="3"/>
  <c r="K6" i="3"/>
  <c r="A12" i="3"/>
  <c r="K12" i="3"/>
  <c r="A29" i="3"/>
  <c r="K29" i="3"/>
  <c r="A4" i="3"/>
  <c r="K4" i="3"/>
  <c r="A31" i="3"/>
  <c r="K31" i="3"/>
  <c r="A34" i="3"/>
  <c r="K34" i="3"/>
  <c r="A3" i="3"/>
  <c r="K3" i="3"/>
  <c r="A38" i="3"/>
  <c r="K38" i="3"/>
  <c r="K53" i="3"/>
  <c r="I19" i="16"/>
  <c r="J36" i="8"/>
  <c r="H147" i="14" l="1"/>
  <c r="A4" i="12"/>
  <c r="I4" i="12" s="1"/>
  <c r="N57" i="15" s="1"/>
  <c r="A17" i="12"/>
  <c r="I17" i="12" s="1"/>
  <c r="N16" i="15" s="1"/>
  <c r="A6" i="12"/>
  <c r="I6" i="12" s="1"/>
  <c r="N47" i="15" s="1"/>
  <c r="R47" i="15" s="1"/>
  <c r="A16" i="12"/>
  <c r="I16" i="12" s="1"/>
  <c r="N17" i="15" s="1"/>
  <c r="A3" i="12"/>
  <c r="I3" i="12" s="1"/>
  <c r="N15" i="15" s="1"/>
  <c r="A8" i="12"/>
  <c r="I8" i="12" s="1"/>
  <c r="N15" i="1" s="1"/>
  <c r="A2" i="12"/>
  <c r="I2" i="12" s="1"/>
  <c r="N33" i="15" s="1"/>
  <c r="A14" i="12"/>
  <c r="I14" i="12" s="1"/>
  <c r="N21" i="15" s="1"/>
  <c r="A7" i="12"/>
  <c r="I7" i="12" s="1"/>
  <c r="N5" i="1" s="1"/>
  <c r="A12" i="12"/>
  <c r="I12" i="12" s="1"/>
  <c r="N19" i="15" s="1"/>
  <c r="A15" i="12"/>
  <c r="I15" i="12" s="1"/>
  <c r="N14" i="1" s="1"/>
  <c r="A11" i="12"/>
  <c r="I11" i="12" s="1"/>
  <c r="N34" i="15" s="1"/>
  <c r="A13" i="12"/>
  <c r="I13" i="12" s="1"/>
  <c r="N20" i="15" s="1"/>
  <c r="A9" i="12"/>
  <c r="I9" i="12" s="1"/>
  <c r="A10" i="12"/>
  <c r="I10" i="12" s="1"/>
  <c r="N118" i="15" s="1"/>
  <c r="R118" i="15" s="1"/>
  <c r="A5" i="12"/>
  <c r="I5" i="12" s="1"/>
  <c r="N22" i="15" s="1"/>
  <c r="R22" i="15" s="1"/>
  <c r="H5" i="16"/>
  <c r="B3" i="16"/>
  <c r="H15" i="16"/>
  <c r="H18" i="16"/>
  <c r="B5" i="16"/>
  <c r="B19" i="16"/>
  <c r="H9" i="16"/>
  <c r="B16" i="16"/>
  <c r="H14" i="16"/>
  <c r="B10" i="16"/>
  <c r="B20" i="16"/>
  <c r="B9" i="16"/>
  <c r="B17" i="16"/>
  <c r="B22" i="16"/>
  <c r="H19" i="16"/>
  <c r="H11" i="16"/>
  <c r="B21" i="16"/>
  <c r="B23" i="16"/>
  <c r="B15" i="16"/>
  <c r="H16" i="16"/>
  <c r="B4" i="16"/>
  <c r="B13" i="16"/>
  <c r="B18" i="16"/>
  <c r="H21" i="16"/>
  <c r="H3" i="16"/>
  <c r="B2" i="16"/>
  <c r="B11" i="16"/>
  <c r="B14" i="16"/>
  <c r="B6" i="16"/>
  <c r="B7" i="16"/>
  <c r="B8" i="16"/>
  <c r="B12" i="16"/>
  <c r="L9" i="15"/>
  <c r="J61" i="1"/>
  <c r="J235" i="15" s="1"/>
  <c r="I61" i="1"/>
  <c r="I235" i="15" s="1"/>
  <c r="L11" i="15"/>
  <c r="L106" i="15"/>
  <c r="Q106" i="15" s="1"/>
  <c r="L107" i="15"/>
  <c r="R107" i="15" s="1"/>
  <c r="L7" i="15"/>
  <c r="L38" i="15"/>
  <c r="L77" i="15"/>
  <c r="P77" i="15" s="1"/>
  <c r="L104" i="15"/>
  <c r="Q104" i="15" s="1"/>
  <c r="L5" i="15"/>
  <c r="L27" i="15"/>
  <c r="L85" i="15"/>
  <c r="R85" i="15" s="1"/>
  <c r="L29" i="15"/>
  <c r="L116" i="15"/>
  <c r="P116" i="15" s="1"/>
  <c r="L14" i="15"/>
  <c r="L25" i="15"/>
  <c r="F52" i="6"/>
  <c r="D52" i="6"/>
  <c r="R97" i="15"/>
  <c r="P97" i="15"/>
  <c r="Q97" i="15"/>
  <c r="R29" i="1"/>
  <c r="P42" i="1"/>
  <c r="P25" i="1"/>
  <c r="Q43" i="1"/>
  <c r="R23" i="1"/>
  <c r="R27" i="1"/>
  <c r="R100" i="15"/>
  <c r="Q90" i="15"/>
  <c r="Q32" i="15"/>
  <c r="R130" i="15"/>
  <c r="R203" i="15"/>
  <c r="Q70" i="15"/>
  <c r="Q135" i="15"/>
  <c r="Q92" i="15"/>
  <c r="Q133" i="15"/>
  <c r="R149" i="15"/>
  <c r="R37" i="15"/>
  <c r="R44" i="15"/>
  <c r="R121" i="15"/>
  <c r="Q185" i="15"/>
  <c r="Q79" i="15"/>
  <c r="R62" i="15"/>
  <c r="R194" i="15"/>
  <c r="P56" i="15"/>
  <c r="Q58" i="15"/>
  <c r="R142" i="15"/>
  <c r="R132" i="15"/>
  <c r="Q172" i="15"/>
  <c r="R170" i="15"/>
  <c r="R166" i="15"/>
  <c r="Q159" i="15"/>
  <c r="R51" i="15"/>
  <c r="Q154" i="15"/>
  <c r="Q122" i="15"/>
  <c r="Q144" i="15"/>
  <c r="Q42" i="15"/>
  <c r="Q63" i="15"/>
  <c r="Q67" i="15"/>
  <c r="R8" i="15"/>
  <c r="Q136" i="15"/>
  <c r="R63" i="15"/>
  <c r="N31" i="11"/>
  <c r="I35" i="11"/>
  <c r="I24" i="11"/>
  <c r="N13" i="11"/>
  <c r="I26" i="11"/>
  <c r="J30" i="11"/>
  <c r="I30" i="11"/>
  <c r="I9" i="11"/>
  <c r="I20" i="11"/>
  <c r="J9" i="11"/>
  <c r="I31" i="11"/>
  <c r="I19" i="11"/>
  <c r="I18" i="11"/>
  <c r="I25" i="11"/>
  <c r="J14" i="11"/>
  <c r="J21" i="11"/>
  <c r="N36" i="11"/>
  <c r="R42" i="15"/>
  <c r="J12" i="11"/>
  <c r="I29" i="11"/>
  <c r="I14" i="11"/>
  <c r="N33" i="11"/>
  <c r="N19" i="11"/>
  <c r="J35" i="11"/>
  <c r="I15" i="11"/>
  <c r="J26" i="11"/>
  <c r="J10" i="11"/>
  <c r="I3" i="11"/>
  <c r="J4" i="11"/>
  <c r="I4" i="11"/>
  <c r="N4" i="11"/>
  <c r="R11" i="1"/>
  <c r="N30" i="11"/>
  <c r="J25" i="11"/>
  <c r="I2" i="11"/>
  <c r="I17" i="11"/>
  <c r="N25" i="11"/>
  <c r="N16" i="11"/>
  <c r="J33" i="11"/>
  <c r="N26" i="11"/>
  <c r="J17" i="11"/>
  <c r="N2" i="11"/>
  <c r="J2" i="11"/>
  <c r="N10" i="11"/>
  <c r="J19" i="11"/>
  <c r="N27" i="11"/>
  <c r="J18" i="11"/>
  <c r="I12" i="11"/>
  <c r="I22" i="11"/>
  <c r="I6" i="11"/>
  <c r="J20" i="11"/>
  <c r="J24" i="11"/>
  <c r="I36" i="11"/>
  <c r="J34" i="11"/>
  <c r="I37" i="11"/>
  <c r="I21" i="11"/>
  <c r="N5" i="11"/>
  <c r="J22" i="11"/>
  <c r="I16" i="11"/>
  <c r="I23" i="11"/>
  <c r="J37" i="11"/>
  <c r="I13" i="11"/>
  <c r="N34" i="11"/>
  <c r="J31" i="11"/>
  <c r="P19" i="1"/>
  <c r="Q28" i="1"/>
  <c r="P34" i="1"/>
  <c r="P8" i="15"/>
  <c r="R50" i="1"/>
  <c r="P36" i="1"/>
  <c r="R35" i="1"/>
  <c r="R225" i="15"/>
  <c r="P54" i="1"/>
  <c r="R26" i="1"/>
  <c r="R16" i="1"/>
  <c r="P158" i="15"/>
  <c r="R228" i="15"/>
  <c r="R218" i="15"/>
  <c r="R211" i="15"/>
  <c r="R108" i="15"/>
  <c r="Q199" i="15"/>
  <c r="R176" i="15"/>
  <c r="Q56" i="1"/>
  <c r="P24" i="1"/>
  <c r="P46" i="1"/>
  <c r="R30" i="1"/>
  <c r="R113" i="15"/>
  <c r="R53" i="15"/>
  <c r="R223" i="15"/>
  <c r="R222" i="15"/>
  <c r="R219" i="15"/>
  <c r="Q142" i="15"/>
  <c r="Q214" i="15"/>
  <c r="R212" i="15"/>
  <c r="Q89" i="15"/>
  <c r="Q211" i="15"/>
  <c r="Q204" i="15"/>
  <c r="P57" i="15"/>
  <c r="R197" i="15"/>
  <c r="Q195" i="15"/>
  <c r="Q69" i="15"/>
  <c r="P187" i="15"/>
  <c r="R136" i="15"/>
  <c r="Q8" i="15"/>
  <c r="Q216" i="15"/>
  <c r="Q121" i="15"/>
  <c r="Q226" i="15"/>
  <c r="Q99" i="15"/>
  <c r="Q207" i="15"/>
  <c r="R55" i="15"/>
  <c r="R199" i="15"/>
  <c r="Q193" i="15"/>
  <c r="Q129" i="15"/>
  <c r="R192" i="15"/>
  <c r="Q191" i="15"/>
  <c r="Q188" i="15"/>
  <c r="Q186" i="15"/>
  <c r="R125" i="15"/>
  <c r="R96" i="15"/>
  <c r="R138" i="15"/>
  <c r="Q120" i="15"/>
  <c r="Q134" i="15"/>
  <c r="P151" i="15"/>
  <c r="Q75" i="15"/>
  <c r="Q210" i="15"/>
  <c r="R145" i="15"/>
  <c r="Q209" i="15"/>
  <c r="Q123" i="15"/>
  <c r="Q183" i="15"/>
  <c r="R183" i="15"/>
  <c r="R126" i="15"/>
  <c r="Q78" i="15"/>
  <c r="R78" i="15"/>
  <c r="Q221" i="15"/>
  <c r="R221" i="15"/>
  <c r="Q218" i="15"/>
  <c r="R40" i="15"/>
  <c r="Q105" i="15"/>
  <c r="R60" i="15"/>
  <c r="Q60" i="15"/>
  <c r="Q124" i="15"/>
  <c r="R217" i="15"/>
  <c r="Q217" i="15"/>
  <c r="R140" i="15"/>
  <c r="R207" i="15"/>
  <c r="Q196" i="15"/>
  <c r="Q112" i="15"/>
  <c r="R112" i="15"/>
  <c r="Q194" i="15"/>
  <c r="P193" i="15"/>
  <c r="R129" i="15"/>
  <c r="Q192" i="15"/>
  <c r="R185" i="15"/>
  <c r="R182" i="15"/>
  <c r="Q126" i="15"/>
  <c r="Q74" i="15"/>
  <c r="Q36" i="15"/>
  <c r="P63" i="15"/>
  <c r="Q61" i="15"/>
  <c r="R61" i="15"/>
  <c r="R58" i="15"/>
  <c r="R209" i="15"/>
  <c r="Q127" i="15"/>
  <c r="Q130" i="15"/>
  <c r="Q228" i="15"/>
  <c r="R226" i="15"/>
  <c r="Q225" i="15"/>
  <c r="Q145" i="15"/>
  <c r="Q86" i="15"/>
  <c r="R86" i="15"/>
  <c r="Q198" i="15"/>
  <c r="Q189" i="15"/>
  <c r="Q151" i="15"/>
  <c r="R71" i="15"/>
  <c r="R122" i="15"/>
  <c r="Q148" i="15"/>
  <c r="Q102" i="15"/>
  <c r="R102" i="15"/>
  <c r="R144" i="15"/>
  <c r="R109" i="15"/>
  <c r="R87" i="15"/>
  <c r="R111" i="15"/>
  <c r="Q111" i="15"/>
  <c r="Q62" i="15"/>
  <c r="R43" i="15"/>
  <c r="R79" i="15"/>
  <c r="R208" i="15"/>
  <c r="Q205" i="15"/>
  <c r="R205" i="15"/>
  <c r="Q190" i="15"/>
  <c r="R190" i="15"/>
  <c r="Q65" i="15"/>
  <c r="R210" i="15"/>
  <c r="R65" i="15"/>
  <c r="Q113" i="15"/>
  <c r="Q220" i="15"/>
  <c r="Q213" i="15"/>
  <c r="Q55" i="15"/>
  <c r="Q223" i="15"/>
  <c r="R89" i="15"/>
  <c r="R188" i="15"/>
  <c r="Q53" i="15"/>
  <c r="Q219" i="15"/>
  <c r="Q40" i="15"/>
  <c r="Q212" i="15"/>
  <c r="Q140" i="15"/>
  <c r="P204" i="15"/>
  <c r="Q203" i="15"/>
  <c r="Q93" i="15"/>
  <c r="R99" i="15"/>
  <c r="Q202" i="15"/>
  <c r="R202" i="15"/>
  <c r="R70" i="15"/>
  <c r="Q201" i="15"/>
  <c r="R201" i="15"/>
  <c r="Q141" i="15"/>
  <c r="R57" i="15"/>
  <c r="P174" i="15"/>
  <c r="Q174" i="15"/>
  <c r="Q173" i="15"/>
  <c r="R173" i="15"/>
  <c r="Q119" i="15"/>
  <c r="R119" i="15"/>
  <c r="R98" i="15"/>
  <c r="Q169" i="15"/>
  <c r="Q168" i="15"/>
  <c r="R168" i="15"/>
  <c r="Q131" i="15"/>
  <c r="Q115" i="15"/>
  <c r="R115" i="15"/>
  <c r="Q164" i="15"/>
  <c r="R164" i="15"/>
  <c r="R92" i="15"/>
  <c r="R162" i="15"/>
  <c r="Q160" i="15"/>
  <c r="R160" i="15"/>
  <c r="R103" i="15"/>
  <c r="Q158" i="15"/>
  <c r="R158" i="15"/>
  <c r="Q51" i="15"/>
  <c r="R155" i="15"/>
  <c r="R154" i="15"/>
  <c r="R101" i="15"/>
  <c r="R152" i="15"/>
  <c r="R133" i="15"/>
  <c r="P69" i="15"/>
  <c r="Q24" i="15"/>
  <c r="P24" i="15"/>
  <c r="R24" i="15"/>
  <c r="R30" i="15"/>
  <c r="Q44" i="15"/>
  <c r="R23" i="15"/>
  <c r="R32" i="15"/>
  <c r="Q180" i="15"/>
  <c r="R178" i="15"/>
  <c r="R177" i="15"/>
  <c r="Q176" i="15"/>
  <c r="Q175" i="15"/>
  <c r="R134" i="15"/>
  <c r="P88" i="15"/>
  <c r="Q88" i="15"/>
  <c r="R88" i="15"/>
  <c r="Q45" i="15"/>
  <c r="R45" i="15"/>
  <c r="R90" i="15"/>
  <c r="R72" i="15"/>
  <c r="R54" i="15"/>
  <c r="R75" i="15"/>
  <c r="R66" i="15"/>
  <c r="R81" i="15"/>
  <c r="Q80" i="15"/>
  <c r="R80" i="15"/>
  <c r="R48" i="15"/>
  <c r="Q39" i="15"/>
  <c r="R215" i="15"/>
  <c r="R114" i="15"/>
  <c r="R213" i="15"/>
  <c r="Q208" i="15"/>
  <c r="Q108" i="15"/>
  <c r="R204" i="15"/>
  <c r="R93" i="15"/>
  <c r="R198" i="15"/>
  <c r="Q197" i="15"/>
  <c r="Q187" i="15"/>
  <c r="R124" i="15"/>
  <c r="R180" i="15"/>
  <c r="R94" i="15"/>
  <c r="Q179" i="15"/>
  <c r="Q178" i="15"/>
  <c r="R128" i="15"/>
  <c r="Q98" i="15"/>
  <c r="R84" i="15"/>
  <c r="Q171" i="15"/>
  <c r="R131" i="15"/>
  <c r="Q165" i="15"/>
  <c r="Q215" i="15"/>
  <c r="R214" i="15"/>
  <c r="Q114" i="15"/>
  <c r="Q132" i="15"/>
  <c r="R59" i="15"/>
  <c r="R74" i="15"/>
  <c r="P117" i="15"/>
  <c r="Q117" i="15"/>
  <c r="Q222" i="15"/>
  <c r="R220" i="15"/>
  <c r="P105" i="15"/>
  <c r="P215" i="15"/>
  <c r="Q57" i="15"/>
  <c r="R196" i="15"/>
  <c r="R191" i="15"/>
  <c r="R189" i="15"/>
  <c r="Q125" i="15"/>
  <c r="Q96" i="15"/>
  <c r="P162" i="15"/>
  <c r="Q162" i="15"/>
  <c r="P159" i="15"/>
  <c r="R159" i="15"/>
  <c r="P103" i="15"/>
  <c r="R156" i="15"/>
  <c r="P71" i="15"/>
  <c r="Q71" i="15"/>
  <c r="R148" i="15"/>
  <c r="Q87" i="15"/>
  <c r="P111" i="15"/>
  <c r="P62" i="15"/>
  <c r="R56" i="15"/>
  <c r="Q56" i="15"/>
  <c r="Q66" i="15"/>
  <c r="P81" i="15"/>
  <c r="Q81" i="15"/>
  <c r="P44" i="15"/>
  <c r="P23" i="15"/>
  <c r="Q23" i="15"/>
  <c r="R216" i="15"/>
  <c r="P181" i="15"/>
  <c r="P180" i="15"/>
  <c r="R127" i="15"/>
  <c r="Q181" i="15"/>
  <c r="Q59" i="15"/>
  <c r="Q84" i="15"/>
  <c r="R117" i="15"/>
  <c r="R179" i="15"/>
  <c r="Q128" i="15"/>
  <c r="P130" i="15"/>
  <c r="P219" i="15"/>
  <c r="P212" i="15"/>
  <c r="P202" i="15"/>
  <c r="R141" i="15"/>
  <c r="P195" i="15"/>
  <c r="R195" i="15"/>
  <c r="R193" i="15"/>
  <c r="R123" i="15"/>
  <c r="P170" i="15"/>
  <c r="R169" i="15"/>
  <c r="Q167" i="15"/>
  <c r="P115" i="15"/>
  <c r="R135" i="15"/>
  <c r="P154" i="15"/>
  <c r="Q101" i="15"/>
  <c r="P152" i="15"/>
  <c r="Q152" i="15"/>
  <c r="P133" i="15"/>
  <c r="R151" i="15"/>
  <c r="R150" i="15"/>
  <c r="Q150" i="15"/>
  <c r="R105" i="15"/>
  <c r="R181" i="15"/>
  <c r="Q94" i="15"/>
  <c r="R165" i="15"/>
  <c r="P226" i="15"/>
  <c r="P225" i="15"/>
  <c r="R186" i="15"/>
  <c r="P186" i="15"/>
  <c r="Q182" i="15"/>
  <c r="P126" i="15"/>
  <c r="Q138" i="15"/>
  <c r="R120" i="15"/>
  <c r="P177" i="15"/>
  <c r="Q177" i="15"/>
  <c r="P175" i="15"/>
  <c r="R175" i="15"/>
  <c r="R174" i="15"/>
  <c r="R172" i="15"/>
  <c r="P102" i="15"/>
  <c r="R146" i="15"/>
  <c r="Q146" i="15"/>
  <c r="Q109" i="15"/>
  <c r="P42" i="15"/>
  <c r="Q37" i="15"/>
  <c r="P43" i="15"/>
  <c r="Q43" i="15"/>
  <c r="Q100" i="15"/>
  <c r="P208" i="15"/>
  <c r="P191" i="15"/>
  <c r="P128" i="15"/>
  <c r="P160" i="15"/>
  <c r="Q103" i="15"/>
  <c r="Q156" i="15"/>
  <c r="Q155" i="15"/>
  <c r="P122" i="15"/>
  <c r="P148" i="15"/>
  <c r="Q72" i="15"/>
  <c r="Q54" i="15"/>
  <c r="P75" i="15"/>
  <c r="R39" i="15"/>
  <c r="Q30" i="15"/>
  <c r="P143" i="15"/>
  <c r="Q143" i="15"/>
  <c r="R143" i="15"/>
  <c r="P223" i="15"/>
  <c r="P221" i="15"/>
  <c r="P65" i="15"/>
  <c r="P166" i="15"/>
  <c r="P131" i="15"/>
  <c r="P165" i="15"/>
  <c r="P101" i="15"/>
  <c r="Q149" i="15"/>
  <c r="P87" i="15"/>
  <c r="P61" i="15"/>
  <c r="P58" i="15"/>
  <c r="P48" i="15"/>
  <c r="Q48" i="15"/>
  <c r="R69" i="15"/>
  <c r="R36" i="15"/>
  <c r="P72" i="15"/>
  <c r="P67" i="15"/>
  <c r="R67" i="15"/>
  <c r="P39" i="15"/>
  <c r="P121" i="15"/>
  <c r="R187" i="15"/>
  <c r="P40" i="15"/>
  <c r="P145" i="15"/>
  <c r="P93" i="15"/>
  <c r="P78" i="15"/>
  <c r="P164" i="15"/>
  <c r="P92" i="15"/>
  <c r="P156" i="15"/>
  <c r="P150" i="15"/>
  <c r="P149" i="15"/>
  <c r="P146" i="15"/>
  <c r="P74" i="15"/>
  <c r="P36" i="15"/>
  <c r="P45" i="15"/>
  <c r="P54" i="15"/>
  <c r="P30" i="15"/>
  <c r="P32" i="15"/>
  <c r="P136" i="15"/>
  <c r="P196" i="15"/>
  <c r="P183" i="15"/>
  <c r="P179" i="15"/>
  <c r="P168" i="15"/>
  <c r="P135" i="15"/>
  <c r="P51" i="15"/>
  <c r="P155" i="15"/>
  <c r="P144" i="15"/>
  <c r="P109" i="15"/>
  <c r="P66" i="15"/>
  <c r="P80" i="15"/>
  <c r="P216" i="15"/>
  <c r="P37" i="15"/>
  <c r="P100" i="15"/>
  <c r="P79" i="15"/>
  <c r="P22" i="15"/>
  <c r="P90" i="15"/>
  <c r="E237" i="15"/>
  <c r="E239" i="15" s="1"/>
  <c r="F238" i="15" s="1"/>
  <c r="E242" i="15"/>
  <c r="P142" i="15"/>
  <c r="P214" i="15"/>
  <c r="P209" i="15"/>
  <c r="P99" i="15"/>
  <c r="P86" i="15"/>
  <c r="P197" i="15"/>
  <c r="P123" i="15"/>
  <c r="P192" i="15"/>
  <c r="P185" i="15"/>
  <c r="P120" i="15"/>
  <c r="P94" i="15"/>
  <c r="P172" i="15"/>
  <c r="P119" i="15"/>
  <c r="P169" i="15"/>
  <c r="P127" i="15"/>
  <c r="P228" i="15"/>
  <c r="P53" i="15"/>
  <c r="P222" i="15"/>
  <c r="P124" i="15"/>
  <c r="P217" i="15"/>
  <c r="P89" i="15"/>
  <c r="P55" i="15"/>
  <c r="P201" i="15"/>
  <c r="P141" i="15"/>
  <c r="P198" i="15"/>
  <c r="P112" i="15"/>
  <c r="P189" i="15"/>
  <c r="P188" i="15"/>
  <c r="P125" i="15"/>
  <c r="P132" i="15"/>
  <c r="P59" i="15"/>
  <c r="P176" i="15"/>
  <c r="P84" i="15"/>
  <c r="R171" i="15"/>
  <c r="P171" i="15"/>
  <c r="Q170" i="15"/>
  <c r="P218" i="15"/>
  <c r="P114" i="15"/>
  <c r="P213" i="15"/>
  <c r="P210" i="15"/>
  <c r="P203" i="15"/>
  <c r="P129" i="15"/>
  <c r="P182" i="15"/>
  <c r="P138" i="15"/>
  <c r="P178" i="15"/>
  <c r="P173" i="15"/>
  <c r="R167" i="15"/>
  <c r="P167" i="15"/>
  <c r="Q166" i="15"/>
  <c r="P113" i="15"/>
  <c r="P220" i="15"/>
  <c r="P60" i="15"/>
  <c r="P140" i="15"/>
  <c r="P211" i="15"/>
  <c r="P207" i="15"/>
  <c r="P108" i="15"/>
  <c r="P205" i="15"/>
  <c r="P70" i="15"/>
  <c r="P199" i="15"/>
  <c r="P194" i="15"/>
  <c r="P190" i="15"/>
  <c r="P118" i="15"/>
  <c r="P96" i="15"/>
  <c r="P134" i="15"/>
  <c r="P98" i="15"/>
  <c r="P45" i="1"/>
  <c r="P21" i="1"/>
  <c r="O61" i="1"/>
  <c r="O235" i="15" s="1"/>
  <c r="P56" i="1"/>
  <c r="P55" i="1"/>
  <c r="P44" i="1"/>
  <c r="P39" i="1"/>
  <c r="P22" i="1"/>
  <c r="P49" i="1"/>
  <c r="R13" i="1"/>
  <c r="H60" i="1"/>
  <c r="H234" i="15" s="1"/>
  <c r="R21" i="1"/>
  <c r="G60" i="1"/>
  <c r="G234" i="15" s="1"/>
  <c r="E65" i="1"/>
  <c r="F64" i="1" s="1"/>
  <c r="Q45" i="1"/>
  <c r="R53" i="1"/>
  <c r="P52" i="1"/>
  <c r="Q49" i="1"/>
  <c r="R18" i="1"/>
  <c r="P41" i="1"/>
  <c r="Q39" i="1"/>
  <c r="P23" i="1"/>
  <c r="Q55" i="1"/>
  <c r="R55" i="1"/>
  <c r="Q54" i="1"/>
  <c r="R54" i="1"/>
  <c r="P50" i="1"/>
  <c r="Q50" i="1"/>
  <c r="P48" i="1"/>
  <c r="R28" i="1"/>
  <c r="Q44" i="1"/>
  <c r="R44" i="1"/>
  <c r="Q25" i="1"/>
  <c r="R25" i="1"/>
  <c r="P26" i="1"/>
  <c r="Q26" i="1"/>
  <c r="P37" i="1"/>
  <c r="Q22" i="1"/>
  <c r="P11" i="1"/>
  <c r="Q11" i="1"/>
  <c r="P10" i="1"/>
  <c r="F61" i="1"/>
  <c r="F235" i="15" s="1"/>
  <c r="Q10" i="1"/>
  <c r="L61" i="1"/>
  <c r="Q42" i="1"/>
  <c r="R42" i="1"/>
  <c r="F60" i="1"/>
  <c r="F234" i="15" s="1"/>
  <c r="G61" i="1"/>
  <c r="G235" i="15" s="1"/>
  <c r="R22" i="1"/>
  <c r="R10" i="1"/>
  <c r="R56" i="1"/>
  <c r="Q52" i="1"/>
  <c r="R52" i="1"/>
  <c r="Q24" i="1"/>
  <c r="R24" i="1"/>
  <c r="P29" i="1"/>
  <c r="Q29" i="1"/>
  <c r="R45" i="1"/>
  <c r="P43" i="1"/>
  <c r="Q41" i="1"/>
  <c r="R41" i="1"/>
  <c r="P35" i="1"/>
  <c r="Q35" i="1"/>
  <c r="P17" i="1"/>
  <c r="Q21" i="1"/>
  <c r="P13" i="1"/>
  <c r="J60" i="1"/>
  <c r="J234" i="15" s="1"/>
  <c r="P8" i="1"/>
  <c r="Q8" i="1"/>
  <c r="R8" i="1"/>
  <c r="Q48" i="1"/>
  <c r="R48" i="1"/>
  <c r="Q19" i="1"/>
  <c r="R19" i="1"/>
  <c r="P30" i="1"/>
  <c r="Q30" i="1"/>
  <c r="R43" i="1"/>
  <c r="Q37" i="1"/>
  <c r="R37" i="1"/>
  <c r="Q36" i="1"/>
  <c r="R36" i="1"/>
  <c r="P27" i="1"/>
  <c r="Q27" i="1"/>
  <c r="Q13" i="1"/>
  <c r="H61" i="1"/>
  <c r="H235" i="15" s="1"/>
  <c r="I60" i="1"/>
  <c r="I234" i="15" s="1"/>
  <c r="L60" i="1"/>
  <c r="P53" i="1"/>
  <c r="Q53" i="1"/>
  <c r="R49" i="1"/>
  <c r="P28" i="1"/>
  <c r="Q46" i="1"/>
  <c r="R46" i="1"/>
  <c r="P18" i="1"/>
  <c r="Q18" i="1"/>
  <c r="R39" i="1"/>
  <c r="Q17" i="1"/>
  <c r="R17" i="1"/>
  <c r="Q34" i="1"/>
  <c r="R34" i="1"/>
  <c r="P16" i="1"/>
  <c r="Q16" i="1"/>
  <c r="O60" i="1"/>
  <c r="O234" i="15" s="1"/>
  <c r="Q23" i="1"/>
  <c r="Q118" i="15" l="1"/>
  <c r="S118" i="15" s="1"/>
  <c r="Q47" i="15"/>
  <c r="P47" i="15"/>
  <c r="Q22" i="15"/>
  <c r="S22" i="15" s="1"/>
  <c r="I25" i="12"/>
  <c r="N61" i="1"/>
  <c r="N60" i="1"/>
  <c r="R33" i="15"/>
  <c r="P33" i="15"/>
  <c r="Q33" i="15"/>
  <c r="N234" i="15"/>
  <c r="N235" i="15"/>
  <c r="R77" i="15"/>
  <c r="A9" i="16"/>
  <c r="I9" i="16" s="1"/>
  <c r="M61" i="1" s="1"/>
  <c r="A2" i="16"/>
  <c r="I2" i="16" s="1"/>
  <c r="A16" i="16"/>
  <c r="I16" i="16" s="1"/>
  <c r="A12" i="16"/>
  <c r="I12" i="16" s="1"/>
  <c r="A21" i="16"/>
  <c r="I21" i="16" s="1"/>
  <c r="A15" i="16"/>
  <c r="I15" i="16" s="1"/>
  <c r="A3" i="16"/>
  <c r="I3" i="16" s="1"/>
  <c r="A22" i="16"/>
  <c r="I22" i="16" s="1"/>
  <c r="A6" i="16"/>
  <c r="I6" i="16" s="1"/>
  <c r="A23" i="16"/>
  <c r="I23" i="16" s="1"/>
  <c r="A17" i="16"/>
  <c r="I17" i="16" s="1"/>
  <c r="A11" i="16"/>
  <c r="I11" i="16" s="1"/>
  <c r="A20" i="16"/>
  <c r="I20" i="16" s="1"/>
  <c r="A18" i="16"/>
  <c r="I18" i="16" s="1"/>
  <c r="Q38" i="15" s="1"/>
  <c r="I10" i="16"/>
  <c r="A4" i="16"/>
  <c r="I4" i="16" s="1"/>
  <c r="A8" i="16"/>
  <c r="I8" i="16" s="1"/>
  <c r="A7" i="16"/>
  <c r="I7" i="16" s="1"/>
  <c r="A14" i="16"/>
  <c r="I14" i="16" s="1"/>
  <c r="A13" i="16"/>
  <c r="I13" i="16" s="1"/>
  <c r="A5" i="16"/>
  <c r="I5" i="16" s="1"/>
  <c r="Q85" i="15"/>
  <c r="P104" i="15"/>
  <c r="S104" i="15" s="1"/>
  <c r="R104" i="15"/>
  <c r="Q107" i="15"/>
  <c r="Q77" i="15"/>
  <c r="P106" i="15"/>
  <c r="S106" i="15" s="1"/>
  <c r="R106" i="15"/>
  <c r="P85" i="15"/>
  <c r="S42" i="15"/>
  <c r="Q116" i="15"/>
  <c r="S116" i="15" s="1"/>
  <c r="L235" i="15"/>
  <c r="P107" i="15"/>
  <c r="S144" i="15"/>
  <c r="R116" i="15"/>
  <c r="L234" i="15"/>
  <c r="S97" i="15"/>
  <c r="S133" i="15"/>
  <c r="S90" i="15"/>
  <c r="S58" i="15"/>
  <c r="S63" i="15"/>
  <c r="S154" i="15"/>
  <c r="S93" i="15"/>
  <c r="S138" i="15"/>
  <c r="S51" i="15"/>
  <c r="S30" i="15"/>
  <c r="S186" i="15"/>
  <c r="S130" i="15"/>
  <c r="S208" i="15"/>
  <c r="S26" i="1"/>
  <c r="S180" i="15"/>
  <c r="S23" i="1"/>
  <c r="S165" i="15"/>
  <c r="S75" i="15"/>
  <c r="S148" i="15"/>
  <c r="S126" i="15"/>
  <c r="S212" i="15"/>
  <c r="S56" i="15"/>
  <c r="S57" i="15"/>
  <c r="S44" i="15"/>
  <c r="S32" i="15"/>
  <c r="S45" i="1"/>
  <c r="S24" i="1"/>
  <c r="S215" i="15"/>
  <c r="S219" i="15"/>
  <c r="S56" i="1"/>
  <c r="S43" i="1"/>
  <c r="S41" i="1"/>
  <c r="S52" i="1"/>
  <c r="S190" i="15"/>
  <c r="S141" i="15"/>
  <c r="S185" i="15"/>
  <c r="S187" i="15"/>
  <c r="S18" i="1"/>
  <c r="S168" i="15"/>
  <c r="S136" i="15"/>
  <c r="S121" i="15"/>
  <c r="S131" i="15"/>
  <c r="S223" i="15"/>
  <c r="S193" i="15"/>
  <c r="S13" i="1"/>
  <c r="S30" i="1"/>
  <c r="S49" i="1"/>
  <c r="S164" i="15"/>
  <c r="S61" i="15"/>
  <c r="S143" i="15"/>
  <c r="S174" i="15"/>
  <c r="S226" i="15"/>
  <c r="S152" i="15"/>
  <c r="S158" i="15"/>
  <c r="S62" i="15"/>
  <c r="S8" i="15"/>
  <c r="S216" i="15"/>
  <c r="S179" i="15"/>
  <c r="S92" i="15"/>
  <c r="S67" i="15"/>
  <c r="S36" i="15"/>
  <c r="S149" i="15"/>
  <c r="S81" i="15"/>
  <c r="S204" i="15"/>
  <c r="S191" i="15"/>
  <c r="S100" i="15"/>
  <c r="S37" i="15"/>
  <c r="S159" i="15"/>
  <c r="S24" i="15"/>
  <c r="S151" i="15"/>
  <c r="S199" i="15"/>
  <c r="S45" i="15"/>
  <c r="S54" i="15"/>
  <c r="S150" i="15"/>
  <c r="S135" i="15"/>
  <c r="S195" i="15"/>
  <c r="S145" i="15"/>
  <c r="S39" i="15"/>
  <c r="S205" i="15"/>
  <c r="S201" i="15"/>
  <c r="S79" i="15"/>
  <c r="S156" i="15"/>
  <c r="S128" i="15"/>
  <c r="S99" i="15"/>
  <c r="S80" i="15"/>
  <c r="S183" i="15"/>
  <c r="S40" i="15"/>
  <c r="S69" i="15"/>
  <c r="S65" i="15"/>
  <c r="S122" i="15"/>
  <c r="S102" i="15"/>
  <c r="S175" i="15"/>
  <c r="S202" i="15"/>
  <c r="S71" i="15"/>
  <c r="S162" i="15"/>
  <c r="S74" i="15"/>
  <c r="S78" i="15"/>
  <c r="S221" i="15"/>
  <c r="S160" i="15"/>
  <c r="S43" i="15"/>
  <c r="S177" i="15"/>
  <c r="S225" i="15"/>
  <c r="S105" i="15"/>
  <c r="S115" i="15"/>
  <c r="S111" i="15"/>
  <c r="S88" i="15"/>
  <c r="S170" i="15"/>
  <c r="S171" i="15"/>
  <c r="S196" i="15"/>
  <c r="S48" i="15"/>
  <c r="S109" i="15"/>
  <c r="S101" i="15"/>
  <c r="S181" i="15"/>
  <c r="S23" i="15"/>
  <c r="S66" i="15"/>
  <c r="S117" i="15"/>
  <c r="S103" i="15"/>
  <c r="S72" i="15"/>
  <c r="S155" i="15"/>
  <c r="S146" i="15"/>
  <c r="S87" i="15"/>
  <c r="S96" i="15"/>
  <c r="S167" i="15"/>
  <c r="S203" i="15"/>
  <c r="S84" i="15"/>
  <c r="S198" i="15"/>
  <c r="S55" i="15"/>
  <c r="S124" i="15"/>
  <c r="S127" i="15"/>
  <c r="S123" i="15"/>
  <c r="S209" i="15"/>
  <c r="E241" i="15"/>
  <c r="E243" i="15" s="1"/>
  <c r="F242" i="15" s="1"/>
  <c r="S60" i="15"/>
  <c r="S94" i="15"/>
  <c r="S220" i="15"/>
  <c r="S182" i="15"/>
  <c r="S188" i="15"/>
  <c r="S169" i="15"/>
  <c r="S120" i="15"/>
  <c r="S210" i="15"/>
  <c r="S222" i="15"/>
  <c r="S108" i="15"/>
  <c r="S134" i="15"/>
  <c r="S70" i="15"/>
  <c r="S211" i="15"/>
  <c r="S213" i="15"/>
  <c r="S59" i="15"/>
  <c r="S189" i="15"/>
  <c r="S53" i="15"/>
  <c r="S119" i="15"/>
  <c r="S86" i="15"/>
  <c r="S142" i="15"/>
  <c r="S176" i="15"/>
  <c r="S89" i="15"/>
  <c r="S113" i="15"/>
  <c r="S98" i="15"/>
  <c r="S129" i="15"/>
  <c r="S207" i="15"/>
  <c r="S194" i="15"/>
  <c r="S140" i="15"/>
  <c r="S166" i="15"/>
  <c r="S178" i="15"/>
  <c r="S114" i="15"/>
  <c r="S132" i="15"/>
  <c r="S217" i="15"/>
  <c r="S172" i="15"/>
  <c r="S192" i="15"/>
  <c r="S197" i="15"/>
  <c r="S214" i="15"/>
  <c r="S125" i="15"/>
  <c r="S173" i="15"/>
  <c r="S112" i="15"/>
  <c r="S228" i="15"/>
  <c r="S218" i="15"/>
  <c r="S53" i="1"/>
  <c r="S27" i="1"/>
  <c r="S48" i="1"/>
  <c r="S21" i="1"/>
  <c r="S54" i="1"/>
  <c r="S34" i="1"/>
  <c r="S39" i="1"/>
  <c r="S11" i="1"/>
  <c r="S22" i="1"/>
  <c r="S10" i="1"/>
  <c r="S16" i="1"/>
  <c r="S46" i="1"/>
  <c r="S36" i="1"/>
  <c r="S19" i="1"/>
  <c r="S8" i="1"/>
  <c r="S42" i="1"/>
  <c r="S44" i="1"/>
  <c r="S50" i="1"/>
  <c r="S28" i="1"/>
  <c r="S17" i="1"/>
  <c r="S37" i="1"/>
  <c r="S35" i="1"/>
  <c r="S29" i="1"/>
  <c r="S25" i="1"/>
  <c r="S55" i="1"/>
  <c r="N35" i="11"/>
  <c r="B32" i="11"/>
  <c r="J32" i="11"/>
  <c r="B33" i="11"/>
  <c r="B18" i="11"/>
  <c r="B7" i="11"/>
  <c r="B12" i="11"/>
  <c r="B23" i="11"/>
  <c r="N20" i="11"/>
  <c r="B2" i="11"/>
  <c r="B13" i="11"/>
  <c r="B10" i="11"/>
  <c r="B16" i="11"/>
  <c r="B6" i="11"/>
  <c r="B21" i="11"/>
  <c r="B29" i="11"/>
  <c r="B20" i="11"/>
  <c r="B15" i="11"/>
  <c r="B36" i="11"/>
  <c r="B25" i="11"/>
  <c r="B26" i="11"/>
  <c r="B24" i="11"/>
  <c r="B19" i="11"/>
  <c r="B17" i="11"/>
  <c r="B9" i="11"/>
  <c r="J7" i="11"/>
  <c r="B14" i="11"/>
  <c r="B37" i="11"/>
  <c r="B31" i="11"/>
  <c r="B30" i="11"/>
  <c r="B22" i="11"/>
  <c r="B27" i="11"/>
  <c r="B5" i="11"/>
  <c r="B34" i="11"/>
  <c r="B35" i="11"/>
  <c r="B4" i="11"/>
  <c r="B3" i="11"/>
  <c r="J28" i="11"/>
  <c r="B28" i="11"/>
  <c r="N32" i="11"/>
  <c r="I11" i="11"/>
  <c r="J11" i="11"/>
  <c r="N22" i="11"/>
  <c r="B11" i="11"/>
  <c r="I28" i="11"/>
  <c r="I8" i="11"/>
  <c r="A8" i="11" s="1"/>
  <c r="K8" i="11" s="1"/>
  <c r="K5" i="15" s="1"/>
  <c r="I7" i="11"/>
  <c r="A23" i="11" s="1"/>
  <c r="K23" i="11" s="1"/>
  <c r="K28" i="15" s="1"/>
  <c r="I32" i="11"/>
  <c r="B8" i="11"/>
  <c r="J8" i="11"/>
  <c r="N21" i="11"/>
  <c r="S47" i="15" l="1"/>
  <c r="S77" i="15"/>
  <c r="S33" i="15"/>
  <c r="R83" i="15"/>
  <c r="S85" i="15"/>
  <c r="P38" i="15"/>
  <c r="R38" i="15"/>
  <c r="R73" i="15"/>
  <c r="P73" i="15"/>
  <c r="Q73" i="15"/>
  <c r="Q16" i="15"/>
  <c r="R16" i="15"/>
  <c r="P16" i="15"/>
  <c r="P32" i="1"/>
  <c r="R32" i="1"/>
  <c r="Q32" i="1"/>
  <c r="Q50" i="15"/>
  <c r="P50" i="15"/>
  <c r="R50" i="15"/>
  <c r="R76" i="15"/>
  <c r="P76" i="15"/>
  <c r="Q76" i="15"/>
  <c r="P9" i="15"/>
  <c r="Q9" i="15"/>
  <c r="R9" i="15"/>
  <c r="R20" i="1"/>
  <c r="P20" i="1"/>
  <c r="Q20" i="1"/>
  <c r="M235" i="15"/>
  <c r="R91" i="15"/>
  <c r="Q91" i="15"/>
  <c r="P91" i="15"/>
  <c r="Q17" i="15"/>
  <c r="P17" i="15"/>
  <c r="R17" i="15"/>
  <c r="M60" i="1"/>
  <c r="M234" i="15" s="1"/>
  <c r="S107" i="15"/>
  <c r="A4" i="11"/>
  <c r="K4" i="11" s="1"/>
  <c r="K9" i="1" s="1"/>
  <c r="Q9" i="1" s="1"/>
  <c r="A35" i="11"/>
  <c r="K35" i="11" s="1"/>
  <c r="K14" i="1" s="1"/>
  <c r="Q14" i="1" s="1"/>
  <c r="A28" i="11"/>
  <c r="K28" i="11" s="1"/>
  <c r="K11" i="15" s="1"/>
  <c r="P11" i="15" s="1"/>
  <c r="R5" i="15"/>
  <c r="P5" i="15"/>
  <c r="Q5" i="15"/>
  <c r="Q28" i="15"/>
  <c r="P28" i="15"/>
  <c r="R28" i="15"/>
  <c r="A6" i="11"/>
  <c r="K6" i="11" s="1"/>
  <c r="K20" i="15" s="1"/>
  <c r="A27" i="11"/>
  <c r="K27" i="11" s="1"/>
  <c r="K21" i="15" s="1"/>
  <c r="A3" i="11"/>
  <c r="K3" i="11" s="1"/>
  <c r="K12" i="1" s="1"/>
  <c r="A25" i="11"/>
  <c r="K25" i="11" s="1"/>
  <c r="K18" i="15" s="1"/>
  <c r="A29" i="11"/>
  <c r="K29" i="11" s="1"/>
  <c r="K26" i="15" s="1"/>
  <c r="A12" i="11"/>
  <c r="K12" i="11" s="1"/>
  <c r="K12" i="15" s="1"/>
  <c r="A31" i="11"/>
  <c r="K31" i="11" s="1"/>
  <c r="K29" i="15" s="1"/>
  <c r="A26" i="11"/>
  <c r="K26" i="11" s="1"/>
  <c r="K46" i="15" s="1"/>
  <c r="A7" i="11"/>
  <c r="K7" i="11" s="1"/>
  <c r="K31" i="15" s="1"/>
  <c r="A30" i="11"/>
  <c r="K30" i="11" s="1"/>
  <c r="K64" i="15" s="1"/>
  <c r="A15" i="11"/>
  <c r="K15" i="11" s="1"/>
  <c r="K7" i="1" s="1"/>
  <c r="A36" i="11"/>
  <c r="K36" i="11" s="1"/>
  <c r="K41" i="15" s="1"/>
  <c r="A20" i="11"/>
  <c r="K20" i="11" s="1"/>
  <c r="K49" i="15" s="1"/>
  <c r="A21" i="11"/>
  <c r="K21" i="11" s="1"/>
  <c r="K6" i="15" s="1"/>
  <c r="A16" i="11"/>
  <c r="K16" i="11" s="1"/>
  <c r="K34" i="15" s="1"/>
  <c r="A22" i="11"/>
  <c r="K22" i="11" s="1"/>
  <c r="K25" i="15" s="1"/>
  <c r="A14" i="11"/>
  <c r="K14" i="11" s="1"/>
  <c r="K13" i="15" s="1"/>
  <c r="A2" i="11"/>
  <c r="K2" i="11" s="1"/>
  <c r="A9" i="11"/>
  <c r="K9" i="11" s="1"/>
  <c r="K52" i="15" s="1"/>
  <c r="A17" i="11"/>
  <c r="K17" i="11" s="1"/>
  <c r="K14" i="15" s="1"/>
  <c r="A19" i="11"/>
  <c r="K19" i="11" s="1"/>
  <c r="K19" i="15" s="1"/>
  <c r="A37" i="11"/>
  <c r="K37" i="11" s="1"/>
  <c r="K68" i="15" s="1"/>
  <c r="A5" i="11"/>
  <c r="K5" i="11" s="1"/>
  <c r="K6" i="1" s="1"/>
  <c r="A10" i="11"/>
  <c r="K10" i="11" s="1"/>
  <c r="K35" i="15" s="1"/>
  <c r="A32" i="11"/>
  <c r="K32" i="11" s="1"/>
  <c r="K7" i="15" s="1"/>
  <c r="A33" i="11"/>
  <c r="K33" i="11" s="1"/>
  <c r="K15" i="1" s="1"/>
  <c r="A13" i="11"/>
  <c r="K13" i="11" s="1"/>
  <c r="K5" i="1" s="1"/>
  <c r="A18" i="11"/>
  <c r="K18" i="11" s="1"/>
  <c r="K10" i="15" s="1"/>
  <c r="A24" i="11"/>
  <c r="K24" i="11" s="1"/>
  <c r="K27" i="15" s="1"/>
  <c r="A34" i="11"/>
  <c r="K34" i="11" s="1"/>
  <c r="K31" i="1" s="1"/>
  <c r="A11" i="11"/>
  <c r="K11" i="11" s="1"/>
  <c r="K15" i="15" s="1"/>
  <c r="P9" i="1" l="1"/>
  <c r="S38" i="15"/>
  <c r="Q83" i="15"/>
  <c r="P83" i="15"/>
  <c r="S20" i="1"/>
  <c r="S9" i="15"/>
  <c r="S32" i="1"/>
  <c r="S91" i="15"/>
  <c r="S16" i="15"/>
  <c r="S76" i="15"/>
  <c r="S73" i="15"/>
  <c r="S17" i="15"/>
  <c r="S50" i="15"/>
  <c r="R9" i="1"/>
  <c r="P14" i="1"/>
  <c r="R14" i="1"/>
  <c r="P46" i="15"/>
  <c r="Q46" i="15"/>
  <c r="R46" i="15"/>
  <c r="R11" i="15"/>
  <c r="Q11" i="15"/>
  <c r="P7" i="15"/>
  <c r="R7" i="15"/>
  <c r="Q7" i="15"/>
  <c r="R68" i="15"/>
  <c r="P68" i="15"/>
  <c r="Q68" i="15"/>
  <c r="P5" i="1"/>
  <c r="R5" i="1"/>
  <c r="K60" i="1"/>
  <c r="K61" i="1"/>
  <c r="Q5" i="1"/>
  <c r="Q14" i="15"/>
  <c r="R14" i="15"/>
  <c r="P14" i="15"/>
  <c r="P25" i="15"/>
  <c r="Q25" i="15"/>
  <c r="R25" i="15"/>
  <c r="Q41" i="15"/>
  <c r="R41" i="15"/>
  <c r="P41" i="15"/>
  <c r="Q18" i="15"/>
  <c r="P18" i="15"/>
  <c r="R18" i="15"/>
  <c r="P31" i="1"/>
  <c r="R31" i="1"/>
  <c r="Q31" i="1"/>
  <c r="P15" i="1"/>
  <c r="Q15" i="1"/>
  <c r="R15" i="1"/>
  <c r="P6" i="1"/>
  <c r="R6" i="1"/>
  <c r="Q6" i="1"/>
  <c r="R52" i="15"/>
  <c r="P52" i="15"/>
  <c r="Q52" i="15"/>
  <c r="Q34" i="15"/>
  <c r="P34" i="15"/>
  <c r="R34" i="15"/>
  <c r="P7" i="1"/>
  <c r="Q7" i="1"/>
  <c r="R7" i="1"/>
  <c r="P29" i="15"/>
  <c r="R29" i="15"/>
  <c r="Q29" i="15"/>
  <c r="R12" i="1"/>
  <c r="Q12" i="1"/>
  <c r="P12" i="1"/>
  <c r="S28" i="15"/>
  <c r="R27" i="15"/>
  <c r="P27" i="15"/>
  <c r="Q27" i="15"/>
  <c r="P35" i="15"/>
  <c r="Q35" i="15"/>
  <c r="R35" i="15"/>
  <c r="K82" i="15"/>
  <c r="Q6" i="15"/>
  <c r="P6" i="15"/>
  <c r="R6" i="15"/>
  <c r="Q64" i="15"/>
  <c r="R64" i="15"/>
  <c r="P64" i="15"/>
  <c r="P12" i="15"/>
  <c r="R12" i="15"/>
  <c r="Q12" i="15"/>
  <c r="Q21" i="15"/>
  <c r="R21" i="15"/>
  <c r="P21" i="15"/>
  <c r="S5" i="15"/>
  <c r="R15" i="15"/>
  <c r="Q15" i="15"/>
  <c r="P15" i="15"/>
  <c r="Q10" i="15"/>
  <c r="P10" i="15"/>
  <c r="R10" i="15"/>
  <c r="P19" i="15"/>
  <c r="Q19" i="15"/>
  <c r="R19" i="15"/>
  <c r="P13" i="15"/>
  <c r="Q13" i="15"/>
  <c r="R13" i="15"/>
  <c r="P49" i="15"/>
  <c r="Q49" i="15"/>
  <c r="R49" i="15"/>
  <c r="R31" i="15"/>
  <c r="Q31" i="15"/>
  <c r="P31" i="15"/>
  <c r="Q26" i="15"/>
  <c r="R26" i="15"/>
  <c r="P26" i="15"/>
  <c r="P20" i="15"/>
  <c r="Q20" i="15"/>
  <c r="R20" i="15"/>
  <c r="T47" i="1" l="1"/>
  <c r="S9" i="1"/>
  <c r="S83" i="15"/>
  <c r="S14" i="1"/>
  <c r="K235" i="15"/>
  <c r="S31" i="1"/>
  <c r="S35" i="15"/>
  <c r="S64" i="15"/>
  <c r="S46" i="15"/>
  <c r="T12" i="1"/>
  <c r="S52" i="15"/>
  <c r="S7" i="15"/>
  <c r="S11" i="15"/>
  <c r="S6" i="15"/>
  <c r="S12" i="15"/>
  <c r="S49" i="15"/>
  <c r="K234" i="15"/>
  <c r="S25" i="15"/>
  <c r="S14" i="15"/>
  <c r="S31" i="15"/>
  <c r="S15" i="15"/>
  <c r="S12" i="1"/>
  <c r="T6" i="1"/>
  <c r="Z15" i="1"/>
  <c r="Z12" i="1"/>
  <c r="Z6" i="1"/>
  <c r="Z10" i="1"/>
  <c r="Z13" i="1"/>
  <c r="Z7" i="1"/>
  <c r="S5" i="1"/>
  <c r="Z5" i="1"/>
  <c r="Z11" i="1"/>
  <c r="Z8" i="1"/>
  <c r="Z14" i="1"/>
  <c r="Z9" i="1"/>
  <c r="T5" i="1"/>
  <c r="T49" i="1"/>
  <c r="T19" i="1"/>
  <c r="T8" i="1"/>
  <c r="T55" i="1"/>
  <c r="T48" i="1"/>
  <c r="T50" i="1"/>
  <c r="T28" i="1"/>
  <c r="T11" i="1"/>
  <c r="T30" i="1"/>
  <c r="T39" i="1"/>
  <c r="T29" i="1"/>
  <c r="T20" i="1"/>
  <c r="T16" i="1"/>
  <c r="T45" i="1"/>
  <c r="T36" i="1"/>
  <c r="T37" i="1"/>
  <c r="T40" i="1"/>
  <c r="T18" i="1"/>
  <c r="T22" i="1"/>
  <c r="T44" i="1"/>
  <c r="T51" i="1"/>
  <c r="T35" i="1"/>
  <c r="T41" i="1"/>
  <c r="T46" i="1"/>
  <c r="T27" i="1"/>
  <c r="T43" i="1"/>
  <c r="T32" i="1"/>
  <c r="T23" i="1"/>
  <c r="T25" i="1"/>
  <c r="T42" i="1"/>
  <c r="T17" i="1"/>
  <c r="T34" i="1"/>
  <c r="T54" i="1"/>
  <c r="T56" i="1"/>
  <c r="T13" i="1"/>
  <c r="T33" i="1"/>
  <c r="T26" i="1"/>
  <c r="T38" i="1"/>
  <c r="T52" i="1"/>
  <c r="T21" i="1"/>
  <c r="T53" i="1"/>
  <c r="T10" i="1"/>
  <c r="T24" i="1"/>
  <c r="S19" i="15"/>
  <c r="S27" i="15"/>
  <c r="S41" i="15"/>
  <c r="S68" i="15"/>
  <c r="T7" i="1"/>
  <c r="T15" i="1"/>
  <c r="R82" i="15"/>
  <c r="P82" i="15"/>
  <c r="T228" i="15" s="1"/>
  <c r="Q82" i="15"/>
  <c r="S20" i="15"/>
  <c r="S26" i="15"/>
  <c r="S13" i="15"/>
  <c r="S10" i="15"/>
  <c r="T14" i="1"/>
  <c r="S21" i="15"/>
  <c r="T9" i="1"/>
  <c r="S29" i="15"/>
  <c r="S7" i="1"/>
  <c r="S34" i="15"/>
  <c r="S6" i="1"/>
  <c r="S15" i="1"/>
  <c r="T31" i="1"/>
  <c r="S18" i="15"/>
  <c r="T110" i="15" l="1"/>
  <c r="T224" i="15"/>
  <c r="T163" i="15"/>
  <c r="T161" i="15"/>
  <c r="T229" i="15"/>
  <c r="T184" i="15"/>
  <c r="T157" i="15"/>
  <c r="T153" i="15"/>
  <c r="T227" i="15"/>
  <c r="T206" i="15"/>
  <c r="T200" i="15"/>
  <c r="U47" i="1"/>
  <c r="T91" i="15"/>
  <c r="T73" i="15"/>
  <c r="T27" i="15"/>
  <c r="T103" i="15"/>
  <c r="T11" i="15"/>
  <c r="T79" i="15"/>
  <c r="T70" i="15"/>
  <c r="T6" i="15"/>
  <c r="T76" i="15"/>
  <c r="T170" i="15"/>
  <c r="T74" i="15"/>
  <c r="T120" i="15"/>
  <c r="T218" i="15"/>
  <c r="T141" i="15"/>
  <c r="T7" i="15"/>
  <c r="T64" i="15"/>
  <c r="T19" i="15"/>
  <c r="T78" i="15"/>
  <c r="T155" i="15"/>
  <c r="T196" i="15"/>
  <c r="T9" i="15"/>
  <c r="T98" i="15"/>
  <c r="T202" i="15"/>
  <c r="T186" i="15"/>
  <c r="T214" i="15"/>
  <c r="T177" i="15"/>
  <c r="T81" i="15"/>
  <c r="T167" i="15"/>
  <c r="T135" i="15"/>
  <c r="T68" i="15"/>
  <c r="T150" i="15"/>
  <c r="T33" i="15"/>
  <c r="T97" i="15"/>
  <c r="T39" i="15"/>
  <c r="T113" i="15"/>
  <c r="T42" i="15"/>
  <c r="T80" i="15"/>
  <c r="T210" i="15"/>
  <c r="T51" i="15"/>
  <c r="T75" i="15"/>
  <c r="T134" i="15"/>
  <c r="T201" i="15"/>
  <c r="T145" i="15"/>
  <c r="T165" i="15"/>
  <c r="T119" i="15"/>
  <c r="T172" i="15"/>
  <c r="T212" i="15"/>
  <c r="T158" i="15"/>
  <c r="T106" i="15"/>
  <c r="T219" i="15"/>
  <c r="T122" i="15"/>
  <c r="T5" i="15"/>
  <c r="T121" i="15"/>
  <c r="T178" i="15"/>
  <c r="T128" i="15"/>
  <c r="S82" i="15"/>
  <c r="U166" i="15" s="1"/>
  <c r="T34" i="15"/>
  <c r="T88" i="15"/>
  <c r="T221" i="15"/>
  <c r="T44" i="15"/>
  <c r="T118" i="15"/>
  <c r="T203" i="15"/>
  <c r="T49" i="15"/>
  <c r="T188" i="15"/>
  <c r="T223" i="15"/>
  <c r="T40" i="15"/>
  <c r="Z8" i="15"/>
  <c r="T23" i="15"/>
  <c r="AE11" i="15"/>
  <c r="T175" i="15"/>
  <c r="T87" i="15"/>
  <c r="T8" i="15"/>
  <c r="T20" i="15"/>
  <c r="Z15" i="15"/>
  <c r="T16" i="15"/>
  <c r="T111" i="15"/>
  <c r="T149" i="15"/>
  <c r="T29" i="15"/>
  <c r="T166" i="15"/>
  <c r="U15" i="1"/>
  <c r="T215" i="15"/>
  <c r="T62" i="15"/>
  <c r="T71" i="15"/>
  <c r="T199" i="15"/>
  <c r="T193" i="15"/>
  <c r="T22" i="15"/>
  <c r="U14" i="1"/>
  <c r="T176" i="15"/>
  <c r="T114" i="15"/>
  <c r="T15" i="15"/>
  <c r="T226" i="15"/>
  <c r="T112" i="15"/>
  <c r="T13" i="15"/>
  <c r="T205" i="15"/>
  <c r="T127" i="15"/>
  <c r="T45" i="15"/>
  <c r="T115" i="15"/>
  <c r="T220" i="15"/>
  <c r="T61" i="15"/>
  <c r="T211" i="15"/>
  <c r="T195" i="15"/>
  <c r="T86" i="15"/>
  <c r="T131" i="15"/>
  <c r="T217" i="15"/>
  <c r="T136" i="15"/>
  <c r="T41" i="15"/>
  <c r="T92" i="15"/>
  <c r="T209" i="15"/>
  <c r="T154" i="15"/>
  <c r="T138" i="15"/>
  <c r="T168" i="15"/>
  <c r="T25" i="15"/>
  <c r="T36" i="15"/>
  <c r="T159" i="15"/>
  <c r="Z10" i="15"/>
  <c r="AE7" i="15"/>
  <c r="AE13" i="15"/>
  <c r="Z6" i="15"/>
  <c r="AE6" i="15"/>
  <c r="U7" i="1"/>
  <c r="AE9" i="15"/>
  <c r="Z5" i="15"/>
  <c r="T82" i="15"/>
  <c r="T185" i="15"/>
  <c r="T38" i="15"/>
  <c r="T174" i="15"/>
  <c r="T66" i="15"/>
  <c r="T194" i="15"/>
  <c r="T133" i="15"/>
  <c r="T183" i="15"/>
  <c r="T30" i="15"/>
  <c r="T95" i="15"/>
  <c r="T147" i="15"/>
  <c r="T137" i="15"/>
  <c r="T69" i="15"/>
  <c r="T169" i="15"/>
  <c r="T130" i="15"/>
  <c r="T204" i="15"/>
  <c r="T173" i="15"/>
  <c r="T57" i="15"/>
  <c r="T99" i="15"/>
  <c r="T213" i="15"/>
  <c r="T59" i="15"/>
  <c r="T182" i="15"/>
  <c r="T190" i="15"/>
  <c r="T187" i="15"/>
  <c r="T47" i="15"/>
  <c r="T94" i="15"/>
  <c r="T126" i="15"/>
  <c r="T171" i="15"/>
  <c r="T151" i="15"/>
  <c r="T162" i="15"/>
  <c r="T144" i="15"/>
  <c r="T143" i="15"/>
  <c r="T124" i="15"/>
  <c r="T53" i="15"/>
  <c r="T54" i="15"/>
  <c r="T24" i="15"/>
  <c r="T156" i="15"/>
  <c r="T55" i="15"/>
  <c r="T89" i="15"/>
  <c r="T105" i="15"/>
  <c r="T132" i="15"/>
  <c r="T222" i="15"/>
  <c r="T139" i="15"/>
  <c r="T107" i="15"/>
  <c r="T77" i="15"/>
  <c r="T48" i="15"/>
  <c r="T140" i="15"/>
  <c r="T100" i="15"/>
  <c r="AE8" i="15"/>
  <c r="T192" i="15"/>
  <c r="T197" i="15"/>
  <c r="T179" i="15"/>
  <c r="T164" i="15"/>
  <c r="T72" i="15"/>
  <c r="T37" i="15"/>
  <c r="AE12" i="15"/>
  <c r="T14" i="15"/>
  <c r="Z11" i="15"/>
  <c r="T10" i="15"/>
  <c r="T146" i="15"/>
  <c r="T43" i="15"/>
  <c r="T125" i="15"/>
  <c r="T101" i="15"/>
  <c r="T225" i="15"/>
  <c r="T189" i="15"/>
  <c r="T17" i="15"/>
  <c r="T46" i="15"/>
  <c r="T58" i="15"/>
  <c r="T84" i="15"/>
  <c r="T104" i="15"/>
  <c r="T52" i="15"/>
  <c r="T21" i="15"/>
  <c r="T65" i="15"/>
  <c r="T56" i="15"/>
  <c r="T67" i="15"/>
  <c r="T180" i="15"/>
  <c r="T208" i="15"/>
  <c r="AE14" i="15"/>
  <c r="AE5" i="15"/>
  <c r="Z16" i="1"/>
  <c r="AB5" i="1" s="1"/>
  <c r="Z12" i="15"/>
  <c r="Z13" i="15"/>
  <c r="U6" i="1"/>
  <c r="Z14" i="15"/>
  <c r="T35" i="15"/>
  <c r="Z7" i="15"/>
  <c r="T26" i="15"/>
  <c r="T32" i="15"/>
  <c r="T152" i="15"/>
  <c r="T198" i="15"/>
  <c r="T85" i="15"/>
  <c r="T117" i="15"/>
  <c r="T90" i="15"/>
  <c r="T31" i="15"/>
  <c r="T18" i="15"/>
  <c r="T12" i="15"/>
  <c r="Z9" i="15"/>
  <c r="T148" i="15"/>
  <c r="T191" i="15"/>
  <c r="T109" i="15"/>
  <c r="T83" i="15"/>
  <c r="T50" i="15"/>
  <c r="T181" i="15"/>
  <c r="T207" i="15"/>
  <c r="T123" i="15"/>
  <c r="T60" i="15"/>
  <c r="T129" i="15"/>
  <c r="T116" i="15"/>
  <c r="T108" i="15"/>
  <c r="U8" i="1"/>
  <c r="U48" i="1"/>
  <c r="U45" i="1"/>
  <c r="U11" i="1"/>
  <c r="U5" i="1"/>
  <c r="U10" i="1"/>
  <c r="U35" i="1"/>
  <c r="U25" i="1"/>
  <c r="U13" i="1"/>
  <c r="U38" i="1"/>
  <c r="U46" i="1"/>
  <c r="U28" i="1"/>
  <c r="U52" i="1"/>
  <c r="U34" i="1"/>
  <c r="U43" i="1"/>
  <c r="U26" i="1"/>
  <c r="U24" i="1"/>
  <c r="U42" i="1"/>
  <c r="U56" i="1"/>
  <c r="U49" i="1"/>
  <c r="U19" i="1"/>
  <c r="U39" i="1"/>
  <c r="U21" i="1"/>
  <c r="U50" i="1"/>
  <c r="U32" i="1"/>
  <c r="U33" i="1"/>
  <c r="U29" i="1"/>
  <c r="U16" i="1"/>
  <c r="U30" i="1"/>
  <c r="U17" i="1"/>
  <c r="U23" i="1"/>
  <c r="U41" i="1"/>
  <c r="U40" i="1"/>
  <c r="U20" i="1"/>
  <c r="U37" i="1"/>
  <c r="U27" i="1"/>
  <c r="U51" i="1"/>
  <c r="U44" i="1"/>
  <c r="U18" i="1"/>
  <c r="U36" i="1"/>
  <c r="U22" i="1"/>
  <c r="U53" i="1"/>
  <c r="U55" i="1"/>
  <c r="U54" i="1"/>
  <c r="U9" i="1"/>
  <c r="U31" i="1"/>
  <c r="U12" i="1"/>
  <c r="AE15" i="15"/>
  <c r="T142" i="15"/>
  <c r="T93" i="15"/>
  <c r="T102" i="15"/>
  <c r="T96" i="15"/>
  <c r="T216" i="15"/>
  <c r="T63" i="15"/>
  <c r="T28" i="15"/>
  <c r="AE10" i="15"/>
  <c r="T160" i="15"/>
  <c r="U224" i="15" l="1"/>
  <c r="U229" i="15"/>
  <c r="U184" i="15"/>
  <c r="U110" i="15"/>
  <c r="U161" i="15"/>
  <c r="U200" i="15"/>
  <c r="U206" i="15"/>
  <c r="U157" i="15"/>
  <c r="U227" i="15"/>
  <c r="U153" i="15"/>
  <c r="U163" i="15"/>
  <c r="U33" i="15"/>
  <c r="U147" i="15"/>
  <c r="U217" i="15"/>
  <c r="U201" i="15"/>
  <c r="U223" i="15"/>
  <c r="U190" i="15"/>
  <c r="U109" i="15"/>
  <c r="U47" i="15"/>
  <c r="U193" i="15"/>
  <c r="U20" i="15"/>
  <c r="U25" i="15"/>
  <c r="U221" i="15"/>
  <c r="U32" i="15"/>
  <c r="U80" i="15"/>
  <c r="U154" i="15"/>
  <c r="U160" i="15"/>
  <c r="U119" i="15"/>
  <c r="U191" i="15"/>
  <c r="U168" i="15"/>
  <c r="U171" i="15"/>
  <c r="U27" i="15"/>
  <c r="U195" i="15"/>
  <c r="U48" i="15"/>
  <c r="U70" i="15"/>
  <c r="U49" i="15"/>
  <c r="U64" i="15"/>
  <c r="U69" i="15"/>
  <c r="U22" i="15"/>
  <c r="U194" i="15"/>
  <c r="U90" i="15"/>
  <c r="U149" i="15"/>
  <c r="U187" i="15"/>
  <c r="U140" i="15"/>
  <c r="U215" i="15"/>
  <c r="U216" i="15"/>
  <c r="U120" i="15"/>
  <c r="U76" i="15"/>
  <c r="U203" i="15"/>
  <c r="U111" i="15"/>
  <c r="U43" i="15"/>
  <c r="U35" i="15"/>
  <c r="U37" i="15"/>
  <c r="U158" i="15"/>
  <c r="U53" i="15"/>
  <c r="U212" i="15"/>
  <c r="U142" i="15"/>
  <c r="U24" i="15"/>
  <c r="U172" i="15"/>
  <c r="U179" i="15"/>
  <c r="U159" i="15"/>
  <c r="U107" i="15"/>
  <c r="U114" i="15"/>
  <c r="U18" i="15"/>
  <c r="U60" i="15"/>
  <c r="U198" i="15"/>
  <c r="U36" i="15"/>
  <c r="U30" i="15"/>
  <c r="U173" i="15"/>
  <c r="U9" i="15"/>
  <c r="U12" i="15"/>
  <c r="U185" i="15"/>
  <c r="U56" i="15"/>
  <c r="U123" i="15"/>
  <c r="U196" i="15"/>
  <c r="U165" i="15"/>
  <c r="U202" i="15"/>
  <c r="U29" i="15"/>
  <c r="U228" i="15"/>
  <c r="U219" i="15"/>
  <c r="U177" i="15"/>
  <c r="U128" i="15"/>
  <c r="U42" i="15"/>
  <c r="U100" i="15"/>
  <c r="U14" i="15"/>
  <c r="U13" i="15"/>
  <c r="U6" i="15"/>
  <c r="U152" i="15"/>
  <c r="U108" i="15"/>
  <c r="U150" i="15"/>
  <c r="U104" i="15"/>
  <c r="U74" i="15"/>
  <c r="U98" i="15"/>
  <c r="U205" i="15"/>
  <c r="U181" i="15"/>
  <c r="U169" i="15"/>
  <c r="U93" i="15"/>
  <c r="U133" i="15"/>
  <c r="U44" i="15"/>
  <c r="U11" i="15"/>
  <c r="U178" i="15"/>
  <c r="U58" i="15"/>
  <c r="U137" i="15"/>
  <c r="U5" i="15"/>
  <c r="U146" i="15"/>
  <c r="U79" i="15"/>
  <c r="U7" i="15"/>
  <c r="U116" i="15"/>
  <c r="U174" i="15"/>
  <c r="U105" i="15"/>
  <c r="U130" i="15"/>
  <c r="U83" i="15"/>
  <c r="U63" i="15"/>
  <c r="U208" i="15"/>
  <c r="U103" i="15"/>
  <c r="U132" i="15"/>
  <c r="U115" i="15"/>
  <c r="U189" i="15"/>
  <c r="U156" i="15"/>
  <c r="U138" i="15"/>
  <c r="U95" i="15"/>
  <c r="U127" i="15"/>
  <c r="U45" i="15"/>
  <c r="U204" i="15"/>
  <c r="U117" i="15"/>
  <c r="U143" i="15"/>
  <c r="U192" i="15"/>
  <c r="U180" i="15"/>
  <c r="U91" i="15"/>
  <c r="U23" i="15"/>
  <c r="U10" i="15"/>
  <c r="U144" i="15"/>
  <c r="U183" i="15"/>
  <c r="U131" i="15"/>
  <c r="U112" i="15"/>
  <c r="U188" i="15"/>
  <c r="U220" i="15"/>
  <c r="U59" i="15"/>
  <c r="U94" i="15"/>
  <c r="U67" i="15"/>
  <c r="U87" i="15"/>
  <c r="U55" i="15"/>
  <c r="U73" i="15"/>
  <c r="U41" i="15"/>
  <c r="U62" i="15"/>
  <c r="U176" i="15"/>
  <c r="U85" i="15"/>
  <c r="U222" i="15"/>
  <c r="U102" i="15"/>
  <c r="U113" i="15"/>
  <c r="U66" i="15"/>
  <c r="U8" i="15"/>
  <c r="U148" i="15"/>
  <c r="U38" i="15"/>
  <c r="U54" i="15"/>
  <c r="U92" i="15"/>
  <c r="U139" i="15"/>
  <c r="U39" i="15"/>
  <c r="U50" i="15"/>
  <c r="U141" i="15"/>
  <c r="U207" i="15"/>
  <c r="U106" i="15"/>
  <c r="U16" i="15"/>
  <c r="U134" i="15"/>
  <c r="U46" i="15"/>
  <c r="U226" i="15"/>
  <c r="U77" i="15"/>
  <c r="U68" i="15"/>
  <c r="U82" i="15"/>
  <c r="U218" i="15"/>
  <c r="U175" i="15"/>
  <c r="U125" i="15"/>
  <c r="U211" i="15"/>
  <c r="U72" i="15"/>
  <c r="U155" i="15"/>
  <c r="U75" i="15"/>
  <c r="U186" i="15"/>
  <c r="U170" i="15"/>
  <c r="U210" i="15"/>
  <c r="U209" i="15"/>
  <c r="U21" i="15"/>
  <c r="U31" i="15"/>
  <c r="U19" i="15"/>
  <c r="U136" i="15"/>
  <c r="U225" i="15"/>
  <c r="U151" i="15"/>
  <c r="U99" i="15"/>
  <c r="U135" i="15"/>
  <c r="U84" i="15"/>
  <c r="U40" i="15"/>
  <c r="U214" i="15"/>
  <c r="U213" i="15"/>
  <c r="U65" i="15"/>
  <c r="U167" i="15"/>
  <c r="U126" i="15"/>
  <c r="U26" i="15"/>
  <c r="U15" i="15"/>
  <c r="U78" i="15"/>
  <c r="U97" i="15"/>
  <c r="U57" i="15"/>
  <c r="U61" i="15"/>
  <c r="U124" i="15"/>
  <c r="U162" i="15"/>
  <c r="U86" i="15"/>
  <c r="U51" i="15"/>
  <c r="U118" i="15"/>
  <c r="U182" i="15"/>
  <c r="U145" i="15"/>
  <c r="U81" i="15"/>
  <c r="U28" i="15"/>
  <c r="U197" i="15"/>
  <c r="U96" i="15"/>
  <c r="U89" i="15"/>
  <c r="U101" i="15"/>
  <c r="U199" i="15"/>
  <c r="U122" i="15"/>
  <c r="U88" i="15"/>
  <c r="U17" i="15"/>
  <c r="U129" i="15"/>
  <c r="U71" i="15"/>
  <c r="U164" i="15"/>
  <c r="U121" i="15"/>
  <c r="U52" i="15"/>
  <c r="U34" i="15"/>
  <c r="AB6" i="1"/>
  <c r="AB7" i="1" s="1"/>
  <c r="AB8" i="1" s="1"/>
  <c r="AB9" i="1" s="1"/>
  <c r="AB10" i="1" s="1"/>
  <c r="AB11" i="1" s="1"/>
  <c r="AB12" i="1" s="1"/>
  <c r="AB13" i="1" s="1"/>
  <c r="AB14" i="1" s="1"/>
  <c r="AE16" i="15"/>
  <c r="Z16" i="15"/>
  <c r="AA5" i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B5" i="15" l="1"/>
  <c r="AB6" i="15" s="1"/>
  <c r="AB7" i="15" s="1"/>
  <c r="AB8" i="15" s="1"/>
  <c r="AB9" i="15" s="1"/>
  <c r="AB10" i="15" s="1"/>
  <c r="AB11" i="15" s="1"/>
  <c r="AB12" i="15" s="1"/>
  <c r="AB13" i="15" s="1"/>
  <c r="AB14" i="15" s="1"/>
  <c r="AA5" i="15"/>
  <c r="AA6" i="15" s="1"/>
  <c r="AA7" i="15" s="1"/>
  <c r="AA8" i="15" s="1"/>
  <c r="AA9" i="15" s="1"/>
  <c r="AA10" i="15" s="1"/>
  <c r="AA11" i="15" s="1"/>
  <c r="AA12" i="15" s="1"/>
  <c r="AA13" i="15" s="1"/>
  <c r="AA14" i="15" s="1"/>
  <c r="AA15" i="15" s="1"/>
  <c r="AF5" i="15"/>
  <c r="AF6" i="15" s="1"/>
  <c r="AF7" i="15" s="1"/>
  <c r="AF8" i="15" s="1"/>
  <c r="AF9" i="15" s="1"/>
  <c r="AF10" i="15" s="1"/>
  <c r="AF11" i="15" s="1"/>
  <c r="AF12" i="15" s="1"/>
  <c r="AF13" i="15" s="1"/>
  <c r="AF14" i="15" s="1"/>
  <c r="AF15" i="15" s="1"/>
  <c r="AG5" i="15"/>
  <c r="AG6" i="15" s="1"/>
  <c r="AG7" i="15" s="1"/>
  <c r="AG8" i="15" s="1"/>
  <c r="AG9" i="15" s="1"/>
  <c r="AG10" i="15" s="1"/>
  <c r="AG11" i="15" s="1"/>
  <c r="AG12" i="15" s="1"/>
  <c r="AG13" i="15" s="1"/>
  <c r="AG14" i="15" s="1"/>
</calcChain>
</file>

<file path=xl/sharedStrings.xml><?xml version="1.0" encoding="utf-8"?>
<sst xmlns="http://schemas.openxmlformats.org/spreadsheetml/2006/main" count="2318" uniqueCount="677">
  <si>
    <t>Event no.</t>
  </si>
  <si>
    <t>Event</t>
  </si>
  <si>
    <t>Position</t>
  </si>
  <si>
    <t>Date</t>
  </si>
  <si>
    <t>Official - Only counts once</t>
  </si>
  <si>
    <t>Handicap Rank</t>
  </si>
  <si>
    <t>Scratch Rank</t>
  </si>
  <si>
    <t>Name</t>
  </si>
  <si>
    <t>Handicap</t>
  </si>
  <si>
    <t>Points</t>
  </si>
  <si>
    <t>Runner</t>
  </si>
  <si>
    <t>Position (based on Total)</t>
  </si>
  <si>
    <t>Total Points</t>
  </si>
  <si>
    <t>No. of Events</t>
  </si>
  <si>
    <t>Margin</t>
  </si>
  <si>
    <t>Officials:</t>
  </si>
  <si>
    <t>Projected Time</t>
  </si>
  <si>
    <t>Rank</t>
  </si>
  <si>
    <t>Handicap Time</t>
  </si>
  <si>
    <t>Scratch Time</t>
  </si>
  <si>
    <t>Mile Handicap</t>
  </si>
  <si>
    <t>5000m handicap</t>
  </si>
  <si>
    <t>3000m handicap</t>
  </si>
  <si>
    <t>Killer Loop Handicap</t>
  </si>
  <si>
    <t>AV 10km Road Race</t>
  </si>
  <si>
    <t>Runner count</t>
  </si>
  <si>
    <t>Teams</t>
  </si>
  <si>
    <t>Team</t>
  </si>
  <si>
    <t>Total points</t>
  </si>
  <si>
    <t>Age at 1 Jan</t>
  </si>
  <si>
    <t>Max Howard Tan Handicap</t>
  </si>
  <si>
    <t>2 bridges relay</t>
  </si>
  <si>
    <t>SIMON TU</t>
  </si>
  <si>
    <t>JESSIE COLLINS</t>
  </si>
  <si>
    <t>KEITH SHARRATT</t>
  </si>
  <si>
    <t>CHRIS WADE</t>
  </si>
  <si>
    <t>SHANE BHUJOHARRY</t>
  </si>
  <si>
    <t>SHANE FIELDING</t>
  </si>
  <si>
    <t>KEVIN TORY</t>
  </si>
  <si>
    <t>SIMON MOORE</t>
  </si>
  <si>
    <t>SIMON BEVEGE</t>
  </si>
  <si>
    <t>ROSS PRICKETT</t>
  </si>
  <si>
    <t>JUSTIN GANLY</t>
  </si>
  <si>
    <t>JUSTIN WILSON</t>
  </si>
  <si>
    <t>DAVID MELLINGS</t>
  </si>
  <si>
    <t>NICK TURNER</t>
  </si>
  <si>
    <t>ARTHUR KARANASIOS</t>
  </si>
  <si>
    <t>ANTHONY LEE</t>
  </si>
  <si>
    <t>STEPHEN PAINE</t>
  </si>
  <si>
    <t>PETER LARSEN</t>
  </si>
  <si>
    <t>ANTHONY WEILAND</t>
  </si>
  <si>
    <t>PAUL MARSH</t>
  </si>
  <si>
    <t>VINCE YEO</t>
  </si>
  <si>
    <t>NICK PAINE</t>
  </si>
  <si>
    <t>GEOFF NICHOLSON</t>
  </si>
  <si>
    <t>TONY HALLY</t>
  </si>
  <si>
    <t>SIMON VERBEEK</t>
  </si>
  <si>
    <t>EWALD SEIBOLD</t>
  </si>
  <si>
    <t>STEPHEN MILLER</t>
  </si>
  <si>
    <t>GREG ROCHE</t>
  </si>
  <si>
    <t>RICHARD DOES</t>
  </si>
  <si>
    <t>SELIM AHMED</t>
  </si>
  <si>
    <t>MICHAEL BIALCZAK</t>
  </si>
  <si>
    <t>GARY O'DWYER</t>
  </si>
  <si>
    <t>DARREN VANDENBERG</t>
  </si>
  <si>
    <t>MAX HOWARD</t>
  </si>
  <si>
    <t>SCOTT STACEY</t>
  </si>
  <si>
    <t>EWEN VOWELS</t>
  </si>
  <si>
    <t>SIMON WALKER</t>
  </si>
  <si>
    <t>NICK TOBIN</t>
  </si>
  <si>
    <t>RICHARD HARVEY</t>
  </si>
  <si>
    <t>NORVAL HOPE</t>
  </si>
  <si>
    <t>MARK PURVIS</t>
  </si>
  <si>
    <t>RORY HEDDLES</t>
  </si>
  <si>
    <t>DAVID ALCOCK</t>
  </si>
  <si>
    <t>DAVID PERCIVAL</t>
  </si>
  <si>
    <t>ANTHONY MITHEN</t>
  </si>
  <si>
    <t>IAN DENT</t>
  </si>
  <si>
    <t>JOJI MORI</t>
  </si>
  <si>
    <t>GERARD KOELMEYER</t>
  </si>
  <si>
    <t>DALE NARDELLA</t>
  </si>
  <si>
    <t>MARK STODDEN</t>
  </si>
  <si>
    <t>BRUCE ARTHUR</t>
  </si>
  <si>
    <t>ROBYN FLETCHER</t>
  </si>
  <si>
    <t>CHRIS OSBORNE</t>
  </si>
  <si>
    <t>DAVID HARTLEY</t>
  </si>
  <si>
    <t>CALVIN LEONG</t>
  </si>
  <si>
    <t>NICHOLAS BIGNELL</t>
  </si>
  <si>
    <t>STEVEN WILLIAMS</t>
  </si>
  <si>
    <t>LUKE YEATMAN</t>
  </si>
  <si>
    <t>DAVID BLOM</t>
  </si>
  <si>
    <t>JAMES CHIRIANO</t>
  </si>
  <si>
    <t>AMY YEO</t>
  </si>
  <si>
    <t>JAMES SIMONETTA</t>
  </si>
  <si>
    <t>HUGH HUNTER</t>
  </si>
  <si>
    <t>KIRSTEN JACKSON</t>
  </si>
  <si>
    <t>CHRIS WRIGHT</t>
  </si>
  <si>
    <t>GLENN GOODMAN</t>
  </si>
  <si>
    <t>ADRIAN HOEL</t>
  </si>
  <si>
    <t>LUKE GOODMAN</t>
  </si>
  <si>
    <t>DIRK SCHNERRING</t>
  </si>
  <si>
    <t>MARK SYMES</t>
  </si>
  <si>
    <t>GEOFF FISHER</t>
  </si>
  <si>
    <t>JOHN HAND</t>
  </si>
  <si>
    <t>PAUL NOISETTE</t>
  </si>
  <si>
    <t>ANDREW COLES</t>
  </si>
  <si>
    <t>ROD ZLONZAK</t>
  </si>
  <si>
    <t>ROB ITALIA</t>
  </si>
  <si>
    <t>Worst TWO Scoring Races</t>
  </si>
  <si>
    <t>Total less TWO worst</t>
  </si>
  <si>
    <t>Position (Excluding TWO worst)</t>
  </si>
  <si>
    <t>CHRIS RANCIE</t>
  </si>
  <si>
    <t>BEN BRIGGS</t>
  </si>
  <si>
    <t>ANDREW RANCIE</t>
  </si>
  <si>
    <t>Peter Moor 2000m Handicap</t>
  </si>
  <si>
    <t>GARTH CALDER</t>
  </si>
  <si>
    <t>JANICE DE VRIES</t>
  </si>
  <si>
    <t>Team Time</t>
  </si>
  <si>
    <t>CHERYL MARTIN</t>
  </si>
  <si>
    <t>ELISA MOOREN</t>
  </si>
  <si>
    <t>Handicap (Video) Time</t>
  </si>
  <si>
    <t>Race Time</t>
  </si>
  <si>
    <t>Total points allocated</t>
  </si>
  <si>
    <t>DAVID MUNRO</t>
  </si>
  <si>
    <t>LUKE PENGELLY</t>
  </si>
  <si>
    <t>MICHAEL PHILLIPS</t>
  </si>
  <si>
    <t>SCOTT SMITH</t>
  </si>
  <si>
    <t>SIMON KEANE</t>
  </si>
  <si>
    <t>SAM BURKE</t>
  </si>
  <si>
    <t>LACHLAN YEO</t>
  </si>
  <si>
    <t>SEBASTIEN PAYETTE</t>
  </si>
  <si>
    <t>DAVID DOYLE</t>
  </si>
  <si>
    <t>SAMANTHA FLANDERS</t>
  </si>
  <si>
    <t>ANDREW COMPSON</t>
  </si>
  <si>
    <t>ZOE HEATH</t>
  </si>
  <si>
    <t>JOHN LONGO</t>
  </si>
  <si>
    <t>SEAN HELMOT</t>
  </si>
  <si>
    <t>MARK CORBYN</t>
  </si>
  <si>
    <t>MATT ADAMS</t>
  </si>
  <si>
    <t>STAN KARANASIOS</t>
  </si>
  <si>
    <t>GLENN CARROLL</t>
  </si>
  <si>
    <t>NIGEL DUNN</t>
  </si>
  <si>
    <t>COLIN MARSON</t>
  </si>
  <si>
    <t>MICHAEL JOHNSON</t>
  </si>
  <si>
    <t>MARTIN EDWARDS</t>
  </si>
  <si>
    <t>DANIEL HALL</t>
  </si>
  <si>
    <t>DAVID VENOUR</t>
  </si>
  <si>
    <t>Nick Tobin</t>
  </si>
  <si>
    <t>Ewen Vowels</t>
  </si>
  <si>
    <t>Tony Hally</t>
  </si>
  <si>
    <t>Luke Pengelly</t>
  </si>
  <si>
    <t>BELLA RICHARDSON</t>
  </si>
  <si>
    <t>Age Grade %</t>
  </si>
  <si>
    <t>Age Grade rank</t>
  </si>
  <si>
    <t>Age</t>
  </si>
  <si>
    <t>JAMES HOWE</t>
  </si>
  <si>
    <t>Daniel Hall</t>
  </si>
  <si>
    <t>DION FINOCCHIARO</t>
  </si>
  <si>
    <t>INGRID MORRISON</t>
  </si>
  <si>
    <t>NICOLE JOSEPH</t>
  </si>
  <si>
    <t>AARON SCOT-DALGLEISH</t>
  </si>
  <si>
    <t>Total participants (incl officials)</t>
  </si>
  <si>
    <t>PAUL GLADWELL</t>
  </si>
  <si>
    <t>GREG WATSON</t>
  </si>
  <si>
    <t>PETER RUSHEN</t>
  </si>
  <si>
    <t>DANIEL REVIE</t>
  </si>
  <si>
    <t>LEON ADKINS</t>
  </si>
  <si>
    <t>ANTHONY PIDD</t>
  </si>
  <si>
    <t>JARROD ABBOTT</t>
  </si>
  <si>
    <t>TREVOR CRAGGS</t>
  </si>
  <si>
    <t>VONNY TURAMALI</t>
  </si>
  <si>
    <t>MEGAN BARRETT</t>
  </si>
  <si>
    <t>MATTHEW DOMAINGUE</t>
  </si>
  <si>
    <t>IVAN DEAK</t>
  </si>
  <si>
    <t>DANIEL BIERENKRANT</t>
  </si>
  <si>
    <t>GARY ZUCCALA</t>
  </si>
  <si>
    <t>HAMISH CROPPER</t>
  </si>
  <si>
    <t>Date of Birth</t>
  </si>
  <si>
    <t>Margin to handicap</t>
  </si>
  <si>
    <t>Best Age Grade %</t>
  </si>
  <si>
    <t>Best parkrun age grade %</t>
  </si>
  <si>
    <t>DASHIELL GANTNER</t>
  </si>
  <si>
    <t>TOM CROUCH</t>
  </si>
  <si>
    <t>MATTHEW WOODS</t>
  </si>
  <si>
    <t>MARK WILLETTS</t>
  </si>
  <si>
    <t>Location</t>
  </si>
  <si>
    <t>Age Category</t>
  </si>
  <si>
    <t>Events</t>
  </si>
  <si>
    <t>#</t>
  </si>
  <si>
    <t>Participation at least 1</t>
  </si>
  <si>
    <t>Participation Overall</t>
  </si>
  <si>
    <t>ANDREW PINTAR</t>
  </si>
  <si>
    <t>5M's relay</t>
  </si>
  <si>
    <t>1 Jan - 6 Oct</t>
  </si>
  <si>
    <t>ANNA LOCARNINI</t>
  </si>
  <si>
    <t>CHRIS HARVEY</t>
  </si>
  <si>
    <t>50+</t>
  </si>
  <si>
    <t>DANIEL MORRIS</t>
  </si>
  <si>
    <t>DANIEL VOGELPOEL</t>
  </si>
  <si>
    <t>DARREN BOWDEN</t>
  </si>
  <si>
    <t>JONATHAN HOLMES</t>
  </si>
  <si>
    <t>LUCY CLARK</t>
  </si>
  <si>
    <t>LUKE TOMKIN</t>
  </si>
  <si>
    <t>MARK BUYCK</t>
  </si>
  <si>
    <t>MARK MATTHIESSON</t>
  </si>
  <si>
    <t>MATTHEW BRASSINGTON</t>
  </si>
  <si>
    <t>MELISSA DINNEEN</t>
  </si>
  <si>
    <t>ROBERT HOLMES</t>
  </si>
  <si>
    <t>ROBERT JONES</t>
  </si>
  <si>
    <t>RUPERT VAN DONGEN</t>
  </si>
  <si>
    <t>SCOTT TRICKETT</t>
  </si>
  <si>
    <t>STEPHEN DINNEEN</t>
  </si>
  <si>
    <t>TANMAY AGRAWAL</t>
  </si>
  <si>
    <t>TRAVIS TREMAYNE</t>
  </si>
  <si>
    <t>&lt;50</t>
  </si>
  <si>
    <t>Members age 50+</t>
  </si>
  <si>
    <t>Members under age 50</t>
  </si>
  <si>
    <t>MELISSA VANDEWATER</t>
  </si>
  <si>
    <t>Handicap time</t>
  </si>
  <si>
    <t>Race Handicap</t>
  </si>
  <si>
    <t>Overall handicap</t>
  </si>
  <si>
    <t>JAMES DENNIS</t>
  </si>
  <si>
    <t>BRETT COLEMAN</t>
  </si>
  <si>
    <t>PAUL MARTINICO</t>
  </si>
  <si>
    <t>JUSTIN TILLEY</t>
  </si>
  <si>
    <t>MARTIN FRY</t>
  </si>
  <si>
    <t>KAREN BARLOW</t>
  </si>
  <si>
    <t>TIM SCOTT</t>
  </si>
  <si>
    <t>Race 1</t>
  </si>
  <si>
    <t>Race 2</t>
  </si>
  <si>
    <t>Race 3</t>
  </si>
  <si>
    <t>Gender</t>
  </si>
  <si>
    <t>DOB</t>
  </si>
  <si>
    <t>Male</t>
  </si>
  <si>
    <t>Female</t>
  </si>
  <si>
    <t>Worst FOUR Scoring Races</t>
  </si>
  <si>
    <t>Position (Excluding FOUR worst)</t>
  </si>
  <si>
    <t>Males under age 50</t>
  </si>
  <si>
    <t>Males age 50+</t>
  </si>
  <si>
    <t>Total Members</t>
  </si>
  <si>
    <t>Females under age 50</t>
  </si>
  <si>
    <t>Females age 50+</t>
  </si>
  <si>
    <t>Males and Females</t>
  </si>
  <si>
    <t>Total points allocated (males and females)</t>
  </si>
  <si>
    <t>Total less FOUR worst</t>
  </si>
  <si>
    <t>Age Grade Rank</t>
  </si>
  <si>
    <t>David Alcock</t>
  </si>
  <si>
    <t>Gary Zuccala</t>
  </si>
  <si>
    <t>Shane Fielding</t>
  </si>
  <si>
    <t>Chris Wade</t>
  </si>
  <si>
    <t>Elisa Mooren</t>
  </si>
  <si>
    <t>Katie Seibold</t>
  </si>
  <si>
    <t>DAVID SUTHERLAND</t>
  </si>
  <si>
    <t>LAURENCE IRLICHT</t>
  </si>
  <si>
    <t>KEIKO SUNABA</t>
  </si>
  <si>
    <t>Projected Scratch Time</t>
  </si>
  <si>
    <t>MEL JANSEN</t>
  </si>
  <si>
    <t>JULIE-ANN UNDRILL</t>
  </si>
  <si>
    <t>THAI PHAN</t>
  </si>
  <si>
    <t>MATT O'DWYER</t>
  </si>
  <si>
    <t>PANYO KACHRIMANIS</t>
  </si>
  <si>
    <t>KARA GILBERT</t>
  </si>
  <si>
    <t>MELISSA CLARKE</t>
  </si>
  <si>
    <t>LAUREN TRUEFELDT</t>
  </si>
  <si>
    <t>ANTHONY GEORGE</t>
  </si>
  <si>
    <t>DAVERN WHITE</t>
  </si>
  <si>
    <t>DAVID OVEREND</t>
  </si>
  <si>
    <t>MYLES BAGLEY</t>
  </si>
  <si>
    <t>SCOTT LAWRENCE</t>
  </si>
  <si>
    <t>PETER KELLY</t>
  </si>
  <si>
    <t>LEWIS MCLEAN</t>
  </si>
  <si>
    <t>CAMPBELL MAFFETT</t>
  </si>
  <si>
    <t>Overall Handicap</t>
  </si>
  <si>
    <t>Video Time</t>
  </si>
  <si>
    <t>Bib No.</t>
  </si>
  <si>
    <t>Average Pace</t>
  </si>
  <si>
    <t>Adjusted video start</t>
  </si>
  <si>
    <t>ROSS O'GORMAN</t>
  </si>
  <si>
    <t>DANNY REY-CONDE</t>
  </si>
  <si>
    <t>LEIGH STOKES</t>
  </si>
  <si>
    <t>Run Order</t>
  </si>
  <si>
    <t>Runner Name</t>
  </si>
  <si>
    <t>Actual Time
(2 km)</t>
  </si>
  <si>
    <t>Runner Rank</t>
  </si>
  <si>
    <t>Runner Seed</t>
  </si>
  <si>
    <t>ROBBIE SPARK</t>
  </si>
  <si>
    <t>ROBERT PEYERL</t>
  </si>
  <si>
    <t>BAO HOANG</t>
  </si>
  <si>
    <t>JAMIE LOWE</t>
  </si>
  <si>
    <t>Scratch time</t>
  </si>
  <si>
    <t>BEATA JANETZKI</t>
  </si>
  <si>
    <t>ZEB PHOENIX</t>
  </si>
  <si>
    <t>OLIVIA MITCHELL</t>
  </si>
  <si>
    <t>BRIDGET SAFTENBERGER</t>
  </si>
  <si>
    <t>EUGENE RYAN</t>
  </si>
  <si>
    <t>BRAD BARNETT</t>
  </si>
  <si>
    <t>ANDREW ROSS</t>
  </si>
  <si>
    <t>JONATHAN WOODMAN</t>
  </si>
  <si>
    <t>SHELLEY GEORGE</t>
  </si>
  <si>
    <t>ASHLEY CROWTHER</t>
  </si>
  <si>
    <t>Males only</t>
  </si>
  <si>
    <t>15 - 17</t>
  </si>
  <si>
    <t>18 - 19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</si>
  <si>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</si>
  <si>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</si>
  <si>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</si>
  <si>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</si>
  <si>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</si>
  <si>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</si>
  <si>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</si>
  <si>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</si>
  <si>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</si>
  <si>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</si>
  <si>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</si>
  <si>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</si>
  <si>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MMM Club Championship, 2019 standings - Females</t>
  </si>
  <si>
    <t>MMM Club Championship, 2019 standings - Males</t>
  </si>
  <si>
    <t xml:space="preserve">A rich vein of humour </t>
  </si>
  <si>
    <t>GAVIN GREEN</t>
  </si>
  <si>
    <t>Disorienteer</t>
  </si>
  <si>
    <t xml:space="preserve">Slipstream </t>
  </si>
  <si>
    <t>EMILY CARRICK</t>
  </si>
  <si>
    <t xml:space="preserve">Rosco's Special Selections </t>
  </si>
  <si>
    <t>JASON RAWLINGS</t>
  </si>
  <si>
    <t>A listers</t>
  </si>
  <si>
    <t>ANTHONY ALIZZI</t>
  </si>
  <si>
    <t>The Flanders</t>
  </si>
  <si>
    <t>KATIE SEIBOLD</t>
  </si>
  <si>
    <t xml:space="preserve">AkaZaka </t>
  </si>
  <si>
    <t>Tu Bridges, the sequel</t>
  </si>
  <si>
    <t>True to form</t>
  </si>
  <si>
    <t>CBF</t>
  </si>
  <si>
    <t>In-form-errr</t>
  </si>
  <si>
    <t xml:space="preserve">Holksters </t>
  </si>
  <si>
    <t>Kathryn's Krew</t>
  </si>
  <si>
    <t>KATHRYN WHALLEY</t>
  </si>
  <si>
    <t>Cath's a Legend</t>
  </si>
  <si>
    <t>CATHY ROBERTS</t>
  </si>
  <si>
    <t>Ant Music</t>
  </si>
  <si>
    <t>LAURIE BARNES</t>
  </si>
  <si>
    <t>BRENDON DRAIN</t>
  </si>
  <si>
    <t>SHAARANG TANPURE</t>
  </si>
  <si>
    <t>GERARD CULLEN</t>
  </si>
  <si>
    <t>ANTONY RICKARDS</t>
  </si>
  <si>
    <t>HAMED SADRI</t>
  </si>
  <si>
    <t>MARTIN AMY</t>
  </si>
  <si>
    <t>LUKE PEEL</t>
  </si>
  <si>
    <t>JAMIE CASAS</t>
  </si>
  <si>
    <t>NAIRN MILLER</t>
  </si>
  <si>
    <t>CHRIS HORAN</t>
  </si>
  <si>
    <t>ADISORN SIRIKHANT</t>
  </si>
  <si>
    <t>STEFAN VIZZARI</t>
  </si>
  <si>
    <t>JOSEPH VAUGHAN</t>
  </si>
  <si>
    <t>GREGORY KING</t>
  </si>
  <si>
    <t>ANDREW DENNIS</t>
  </si>
  <si>
    <t>ANTONIO RUSSO</t>
  </si>
  <si>
    <t>BARAK BEGLEITER</t>
  </si>
  <si>
    <t>BEN BEGIN</t>
  </si>
  <si>
    <t>TIM SHARPE</t>
  </si>
  <si>
    <t>GARETH DAVIES</t>
  </si>
  <si>
    <t>OWEN HARVEY-BEAVIS</t>
  </si>
  <si>
    <t>JASON PAISLEY</t>
  </si>
  <si>
    <t>RYAN HOCKIN</t>
  </si>
  <si>
    <t>MARK CALDECOURT</t>
  </si>
  <si>
    <t>SOPHIE FITZGERALD</t>
  </si>
  <si>
    <t>BRONWYN AMY</t>
  </si>
  <si>
    <t>RACHAEL BARKER</t>
  </si>
  <si>
    <t>GITA GOLDBERG</t>
  </si>
  <si>
    <t>PAMELA SKAUFEL</t>
  </si>
  <si>
    <t>PAULA FLEMING</t>
  </si>
  <si>
    <t>TAMAMI HOLMES</t>
  </si>
  <si>
    <t>Projected vs 
Actual</t>
  </si>
  <si>
    <t>Colin Marson</t>
  </si>
  <si>
    <t>WILL JANSEN</t>
  </si>
  <si>
    <t>MICHAEL STONE</t>
  </si>
  <si>
    <t>Richard Does</t>
  </si>
  <si>
    <t>Stan Karanasios</t>
  </si>
  <si>
    <t>Stephen Paine</t>
  </si>
  <si>
    <t>James Chiriano</t>
  </si>
  <si>
    <t>Emily Carrick</t>
  </si>
  <si>
    <t>Simon Tu</t>
  </si>
  <si>
    <t>Anthony Mithen</t>
  </si>
  <si>
    <t>Dale Nardella</t>
  </si>
  <si>
    <t>Michael Phillips</t>
  </si>
  <si>
    <t>Andrew Pintar</t>
  </si>
  <si>
    <t>Darren Bowden</t>
  </si>
  <si>
    <t>Glenn Carroll</t>
  </si>
  <si>
    <t>Julie-Ann Undrill</t>
  </si>
  <si>
    <t>Hall's Hellmen</t>
  </si>
  <si>
    <t>The Bermuda Triangles</t>
  </si>
  <si>
    <t>Return of the Hacks</t>
  </si>
  <si>
    <t>Boogie Nights</t>
  </si>
  <si>
    <t>Rocinante</t>
  </si>
  <si>
    <t>Bella Richardson</t>
  </si>
  <si>
    <t>Simon Keane</t>
  </si>
  <si>
    <t>Zoe Heath</t>
  </si>
  <si>
    <t>MICHAEL CHAN</t>
  </si>
  <si>
    <t>Mark Purvis</t>
  </si>
  <si>
    <t>MATT FLYNN</t>
  </si>
  <si>
    <t>ROSS BECROFT</t>
  </si>
  <si>
    <t>ERIC LOUW</t>
  </si>
  <si>
    <t>BEAU WILLIAMS</t>
  </si>
  <si>
    <t>BRETT TUCKER</t>
  </si>
  <si>
    <t>TIFFANY GERSTMEYR</t>
  </si>
  <si>
    <t>ROBYN MILLARD</t>
  </si>
  <si>
    <t>JOANNE STRATOS</t>
  </si>
  <si>
    <t>KIET LEE</t>
  </si>
  <si>
    <t>BIANCA GRAHAM</t>
  </si>
  <si>
    <t>Video  Finish Time</t>
  </si>
  <si>
    <t>Video 
Start 
Time</t>
  </si>
  <si>
    <t>Vonny Turamali</t>
  </si>
  <si>
    <t>Ryan Hockin</t>
  </si>
  <si>
    <t>Keira Lewis</t>
  </si>
  <si>
    <t>Mel Jansen</t>
  </si>
  <si>
    <t>Martin Fry</t>
  </si>
  <si>
    <t>Daniel Morris</t>
  </si>
  <si>
    <t>Arthur Karanasios</t>
  </si>
  <si>
    <t>Will Jansen</t>
  </si>
  <si>
    <t>Anthony Alizzi</t>
  </si>
  <si>
    <t>David Blom</t>
  </si>
  <si>
    <t>Ivan Dennis</t>
  </si>
  <si>
    <t>Ivan Deak</t>
  </si>
  <si>
    <t>Greg Roche</t>
  </si>
  <si>
    <t>Sam Burke</t>
  </si>
  <si>
    <t>Jamie Casas</t>
  </si>
  <si>
    <t>Aaron Scot-Dalgleish</t>
  </si>
  <si>
    <t>Adrian Hoel</t>
  </si>
  <si>
    <t>Michael Chan</t>
  </si>
  <si>
    <t>Nick Paine</t>
  </si>
  <si>
    <t>David Hartley</t>
  </si>
  <si>
    <t>Antony Rickards</t>
  </si>
  <si>
    <t>Tom Crouch</t>
  </si>
  <si>
    <t>BRADLEY ALLEN</t>
  </si>
  <si>
    <t>LUCAS HILLS</t>
  </si>
  <si>
    <t>JUSTIN ORDERS</t>
  </si>
  <si>
    <t>LACHLAN WELCH</t>
  </si>
  <si>
    <t>IVAN DENNIS</t>
  </si>
  <si>
    <t>ROWAN EARLE</t>
  </si>
  <si>
    <t>JUANITA KALLERGIS</t>
  </si>
  <si>
    <t>KEIRA LEWIS</t>
  </si>
  <si>
    <t>Gregory King</t>
  </si>
  <si>
    <t>ANNA HIGGS</t>
  </si>
  <si>
    <t>REBECCA HALL</t>
  </si>
  <si>
    <t>DANIELLA NATAUTAMA</t>
  </si>
  <si>
    <t>HENRIETTA LAWRENCE</t>
  </si>
  <si>
    <t>ALISTAIR WENN</t>
  </si>
  <si>
    <t>ADRIAN CANTWELL</t>
  </si>
  <si>
    <t>VON ROMANA</t>
  </si>
  <si>
    <t>BRAD JOHNSON</t>
  </si>
  <si>
    <t>JEREMY KERNER</t>
  </si>
  <si>
    <t>Beata Janetzki</t>
  </si>
  <si>
    <t>Nicole Joseph</t>
  </si>
  <si>
    <t>Karen Barlow</t>
  </si>
  <si>
    <t>Ingrid Morrison</t>
  </si>
  <si>
    <t>Kathryn Whalley</t>
  </si>
  <si>
    <t>Brett Coleman</t>
  </si>
  <si>
    <t>Mark Corbyn</t>
  </si>
  <si>
    <t>Joji Mori</t>
  </si>
  <si>
    <t>Michael Johnson</t>
  </si>
  <si>
    <t>Hamish Cropper</t>
  </si>
  <si>
    <t>Brad Johnson</t>
  </si>
  <si>
    <t>Matthew Woods</t>
  </si>
  <si>
    <t>Campbell Maffett</t>
  </si>
  <si>
    <t>Mark Buyck</t>
  </si>
  <si>
    <t>Sean Helmot</t>
  </si>
  <si>
    <t>Scott Smith</t>
  </si>
  <si>
    <t>Matt Adams</t>
  </si>
  <si>
    <t>James Simonetta</t>
  </si>
  <si>
    <t>Anthony George</t>
  </si>
  <si>
    <t>Luke Goodman</t>
  </si>
  <si>
    <t>Andrew Ross</t>
  </si>
  <si>
    <t>Bao Hoang</t>
  </si>
  <si>
    <t>Nigel Dunn</t>
  </si>
  <si>
    <t>Ian Dent</t>
  </si>
  <si>
    <t>Zeb Phoenix</t>
  </si>
  <si>
    <t>Panyo Kachrimanis</t>
  </si>
  <si>
    <t>Antonio Russo</t>
  </si>
  <si>
    <t>Lauren Truefeldt</t>
  </si>
  <si>
    <t>Volley points for 5M's</t>
  </si>
  <si>
    <t>Volley points for Mile</t>
  </si>
  <si>
    <t>Stephen Dinneen</t>
  </si>
  <si>
    <t>Nick TOBIN</t>
  </si>
  <si>
    <t>Jamie LOWE</t>
  </si>
  <si>
    <t>KM Reedy Reserve</t>
  </si>
  <si>
    <t>Frog Hollow</t>
  </si>
  <si>
    <t>Maribyrnong</t>
  </si>
  <si>
    <t>Parkville</t>
  </si>
  <si>
    <t>Albert Park</t>
  </si>
  <si>
    <t>Hastings</t>
  </si>
  <si>
    <t>Gardiners Creek</t>
  </si>
  <si>
    <t>Karkarook</t>
  </si>
  <si>
    <t>Darwin</t>
  </si>
  <si>
    <t>Bright</t>
  </si>
  <si>
    <t>Mullum Mullum</t>
  </si>
  <si>
    <t>Ocean Grove</t>
  </si>
  <si>
    <t>Horsham</t>
  </si>
  <si>
    <t>Altona</t>
  </si>
  <si>
    <t>Diamond Creek</t>
  </si>
  <si>
    <t>Studley Park</t>
  </si>
  <si>
    <t>Coburg</t>
  </si>
  <si>
    <t>Birdsland</t>
  </si>
  <si>
    <t>Mildura Weir</t>
  </si>
  <si>
    <t>Jells Park</t>
  </si>
  <si>
    <t>Sale</t>
  </si>
  <si>
    <t>Lillydale Lake</t>
  </si>
  <si>
    <t>Main Beach</t>
  </si>
  <si>
    <t>Mudgeeraba</t>
  </si>
  <si>
    <t>Westerfolds</t>
  </si>
  <si>
    <t>Torquay</t>
  </si>
  <si>
    <t>Launceston</t>
  </si>
  <si>
    <t>Aldinga Beach</t>
  </si>
  <si>
    <t>Nightcliff</t>
  </si>
  <si>
    <t>Gunghalin</t>
  </si>
  <si>
    <t>Lancefield</t>
  </si>
  <si>
    <t>Futakotamagawa, Japan</t>
  </si>
  <si>
    <t>Chelsea</t>
  </si>
  <si>
    <t>Ballarat</t>
  </si>
  <si>
    <t>Inverloch</t>
  </si>
  <si>
    <t>Phillip Island</t>
  </si>
  <si>
    <t>Paradise Point</t>
  </si>
  <si>
    <t>parkrun time *</t>
  </si>
  <si>
    <t>Mark PURVIS</t>
  </si>
  <si>
    <t>David VENOUR</t>
  </si>
  <si>
    <t>Steven WILLIAMS</t>
  </si>
  <si>
    <t>Luke GOODMAN</t>
  </si>
  <si>
    <t>Simon TU</t>
  </si>
  <si>
    <t>David HARTLEY</t>
  </si>
  <si>
    <t>Peter RUSHEN</t>
  </si>
  <si>
    <t>Scott SMITH</t>
  </si>
  <si>
    <t>Stephen PAINE</t>
  </si>
  <si>
    <t>Richard DOES</t>
  </si>
  <si>
    <t>Karen BARLOW</t>
  </si>
  <si>
    <t>Chris RANCIE</t>
  </si>
  <si>
    <t>Sean HELMOT</t>
  </si>
  <si>
    <t>Julie-Ann UNDRILL</t>
  </si>
  <si>
    <t>Darren BOWDEN</t>
  </si>
  <si>
    <t>Melissa VANDEWATER</t>
  </si>
  <si>
    <t>Greg WATSON</t>
  </si>
  <si>
    <t>Beata JANETZKI</t>
  </si>
  <si>
    <t>Jamie CASAS</t>
  </si>
  <si>
    <t>Adrian CANTWELL</t>
  </si>
  <si>
    <t>Elisa MOOREN</t>
  </si>
  <si>
    <t>Andrew ROSS</t>
  </si>
  <si>
    <t>Jason PAISLEY</t>
  </si>
  <si>
    <t>Samantha FLANDERS</t>
  </si>
  <si>
    <t>Mark CORBYN</t>
  </si>
  <si>
    <t>Dion FINOCCHIARO</t>
  </si>
  <si>
    <t>Nicole JOSEPH</t>
  </si>
  <si>
    <t>Michael PHILLIPS</t>
  </si>
  <si>
    <t>Bella RICHARDSON</t>
  </si>
  <si>
    <t>Shane FIELDING</t>
  </si>
  <si>
    <t>Mark WILLETTS</t>
  </si>
  <si>
    <t>Stan KARANASIOS</t>
  </si>
  <si>
    <t>Brett COLEMAN</t>
  </si>
  <si>
    <t>Michael BIALCZAK</t>
  </si>
  <si>
    <t>Anthony MITHEN</t>
  </si>
  <si>
    <t>David MELLINGS</t>
  </si>
  <si>
    <t>Ben BRIGGS</t>
  </si>
  <si>
    <t>Andrew COMPSON</t>
  </si>
  <si>
    <t>Rob ITALIA</t>
  </si>
  <si>
    <t>Janice DE VRIES</t>
  </si>
  <si>
    <t>Gary ZUCCALA</t>
  </si>
  <si>
    <t>Bruce ARTHUR</t>
  </si>
  <si>
    <t>Mark STODDEN</t>
  </si>
  <si>
    <t>Stephen DINNEEN</t>
  </si>
  <si>
    <t>Chris WADE</t>
  </si>
  <si>
    <t>Hamish CROPPER</t>
  </si>
  <si>
    <t>Daniel HALL</t>
  </si>
  <si>
    <t>Rachael BARKER</t>
  </si>
  <si>
    <t>Andrew COLES</t>
  </si>
  <si>
    <t>Nick PAINE</t>
  </si>
  <si>
    <t>Jason RAWLINGS</t>
  </si>
  <si>
    <t>Scott STACEY</t>
  </si>
  <si>
    <t>Emily CARRICK</t>
  </si>
  <si>
    <t>Simon KEANE</t>
  </si>
  <si>
    <t>Nicholas BIGNELL</t>
  </si>
  <si>
    <t>Robert JONES</t>
  </si>
  <si>
    <t>Daniel REES</t>
  </si>
  <si>
    <t>Matthew WOODS</t>
  </si>
  <si>
    <t>Luke PEEL</t>
  </si>
  <si>
    <t>Stephen MILLER</t>
  </si>
  <si>
    <t>Ian DENT</t>
  </si>
  <si>
    <t>Cathy ROBERTS</t>
  </si>
  <si>
    <t>Matt ADAMS</t>
  </si>
  <si>
    <t>James SIMONETTA</t>
  </si>
  <si>
    <t>Robert PEYERL</t>
  </si>
  <si>
    <t>Joji MORI</t>
  </si>
  <si>
    <t>Daniel VOGELPOEL</t>
  </si>
  <si>
    <t>David ALCOCK</t>
  </si>
  <si>
    <t>Matt O'DWYER</t>
  </si>
  <si>
    <t>Dashiell GANTNER</t>
  </si>
  <si>
    <t>Eric LOUW</t>
  </si>
  <si>
    <t>Glenn CARROLL</t>
  </si>
  <si>
    <t>Andrew PINTAR</t>
  </si>
  <si>
    <t>James HOWE</t>
  </si>
  <si>
    <t>Michael CHAN</t>
  </si>
  <si>
    <t>Nick TURNER</t>
  </si>
  <si>
    <t>Simon WALKER</t>
  </si>
  <si>
    <t>Tony HALLY</t>
  </si>
  <si>
    <t>Greg ROCHE</t>
  </si>
  <si>
    <t>Keiko SUNABA</t>
  </si>
  <si>
    <t>Andrew RANCIE</t>
  </si>
  <si>
    <t>Luke YEATMAN</t>
  </si>
  <si>
    <t>Laurie BARNES</t>
  </si>
  <si>
    <t>Aaron SCOT-DALGLEISH</t>
  </si>
  <si>
    <t>Nigel DUNN</t>
  </si>
  <si>
    <t>Zoe HEATH</t>
  </si>
  <si>
    <t>Kathryn WHALLEY</t>
  </si>
  <si>
    <t>Simon MOORE</t>
  </si>
  <si>
    <t>Martin FRY</t>
  </si>
  <si>
    <t>Thai PHAN</t>
  </si>
  <si>
    <t>Scott LAWRENCE</t>
  </si>
  <si>
    <t>Ross PRICKETT</t>
  </si>
  <si>
    <t>Amy YEO</t>
  </si>
  <si>
    <t>Melissa CLARKE</t>
  </si>
  <si>
    <t>John LONGO</t>
  </si>
  <si>
    <t>James CHIRIANO</t>
  </si>
  <si>
    <t>Jarrod ABBOTT</t>
  </si>
  <si>
    <t>Ingrid MORRISON</t>
  </si>
  <si>
    <t>Matthew DOMAINGUE</t>
  </si>
  <si>
    <t>Anthony ALIZZI</t>
  </si>
  <si>
    <t>Gavin GREEN</t>
  </si>
  <si>
    <t>Arthur KARANASIOS</t>
  </si>
  <si>
    <t>Melissa DINNEEN</t>
  </si>
  <si>
    <t>Zeb PHOENIX</t>
  </si>
  <si>
    <t>David BLOM</t>
  </si>
  <si>
    <t>Ivan DEAK</t>
  </si>
  <si>
    <t>Dirk SCHNERRING</t>
  </si>
  <si>
    <t>Keira LEWIS</t>
  </si>
  <si>
    <t>Leigh STOKES</t>
  </si>
  <si>
    <t>Bao HOANG</t>
  </si>
  <si>
    <t>Dale NARDELLA</t>
  </si>
  <si>
    <t>Jessie COLLINS</t>
  </si>
  <si>
    <t>Ewen VOWELS</t>
  </si>
  <si>
    <t>Rory HEDDLES</t>
  </si>
  <si>
    <t>Lucy CLARK</t>
  </si>
  <si>
    <t>Stefan VIZZARI</t>
  </si>
  <si>
    <t>Vince YEO</t>
  </si>
  <si>
    <t>Darren VANDENBERG</t>
  </si>
  <si>
    <t>Hugh HUNTER</t>
  </si>
  <si>
    <t>Trevor CRAGGS</t>
  </si>
  <si>
    <t>Beau WILLIAMS</t>
  </si>
  <si>
    <t>Garth CALDER</t>
  </si>
  <si>
    <t>Daniel REVIE</t>
  </si>
  <si>
    <t>Lucas HILLS</t>
  </si>
  <si>
    <t>Jeremy KERNER</t>
  </si>
  <si>
    <t>Von ROMANA</t>
  </si>
  <si>
    <t>Lauren TRUEFELDT</t>
  </si>
  <si>
    <t>Will JANSEN</t>
  </si>
  <si>
    <t>Vonny TURAMALI</t>
  </si>
  <si>
    <t>Colin MARSON</t>
  </si>
  <si>
    <t>Ryan HOCKIN</t>
  </si>
  <si>
    <t>Scott TRICKETT</t>
  </si>
  <si>
    <t>Bradley ALLEN</t>
  </si>
  <si>
    <t>Tanmay AGRAWAL</t>
  </si>
  <si>
    <t>Paul MARSH</t>
  </si>
  <si>
    <t>Daniel MORRIS</t>
  </si>
  <si>
    <t>Tom CROUCH</t>
  </si>
  <si>
    <t>Panyo KACHRIMANIS</t>
  </si>
  <si>
    <t>Matt FLYNN</t>
  </si>
  <si>
    <t>Peter LARSEN</t>
  </si>
  <si>
    <t>Katie SEIBOLD</t>
  </si>
  <si>
    <t>COREY LAWSON</t>
  </si>
  <si>
    <t>CHRIS HOWLEY</t>
  </si>
  <si>
    <t>WILLIAM YENCKEN</t>
  </si>
  <si>
    <t>DANIEL REES</t>
  </si>
  <si>
    <t>BEN MICALLEF</t>
  </si>
  <si>
    <t>BRUCE MILNE</t>
  </si>
  <si>
    <t>JOSEPH MORRISON</t>
  </si>
  <si>
    <t>TIM WHITE</t>
  </si>
  <si>
    <t>NICK MCGUIRE</t>
  </si>
  <si>
    <t>MARTIN CANTY</t>
  </si>
  <si>
    <t>TAIT OVENS</t>
  </si>
  <si>
    <t>NERIDA COLE</t>
  </si>
  <si>
    <t>Gregory KING</t>
  </si>
  <si>
    <t>* parkrun time is not necessarily best time for the year.  It is the time that achieved the highest age-grade</t>
  </si>
  <si>
    <t>Results for new members during the year only relate to parkruns run on or after date joined Milers.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</si>
</sst>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:ss.0"/>
    <numFmt numFmtId="165" formatCode="m:ss"/>
    <numFmt numFmtId="166" formatCode="0.0%"/>
    <numFmt numFmtId="167" formatCode="[$-F400]h:mm:ss\ AM/PM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5" fillId="0" borderId="0"/>
    <xf numFmtId="0" fontId="9" fillId="0" borderId="0"/>
    <xf numFmtId="0" fontId="9" fillId="0" borderId="0"/>
    <xf numFmtId="0" fontId="4" fillId="0" borderId="0"/>
    <xf numFmtId="0" fontId="3" fillId="0" borderId="0"/>
    <xf numFmtId="9" fontId="17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15" fontId="8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5" fontId="12" fillId="0" borderId="5" xfId="0" quotePrefix="1" applyNumberFormat="1" applyFont="1" applyBorder="1" applyAlignment="1">
      <alignment horizontal="center"/>
    </xf>
    <xf numFmtId="15" fontId="12" fillId="0" borderId="6" xfId="0" quotePrefix="1" applyNumberFormat="1" applyFont="1" applyBorder="1" applyAlignment="1">
      <alignment horizontal="center"/>
    </xf>
    <xf numFmtId="15" fontId="12" fillId="0" borderId="7" xfId="0" applyNumberFormat="1" applyFont="1" applyBorder="1"/>
    <xf numFmtId="3" fontId="12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10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/>
    </xf>
    <xf numFmtId="3" fontId="9" fillId="0" borderId="9" xfId="0" quotePrefix="1" applyNumberFormat="1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5" fontId="12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/>
    <xf numFmtId="0" fontId="9" fillId="0" borderId="12" xfId="0" applyFont="1" applyBorder="1"/>
    <xf numFmtId="0" fontId="9" fillId="2" borderId="13" xfId="0" applyFont="1" applyFill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9" fillId="0" borderId="14" xfId="0" applyFont="1" applyFill="1" applyBorder="1"/>
    <xf numFmtId="3" fontId="9" fillId="0" borderId="15" xfId="0" applyNumberFormat="1" applyFont="1" applyBorder="1" applyAlignment="1">
      <alignment horizontal="center"/>
    </xf>
    <xf numFmtId="1" fontId="9" fillId="0" borderId="16" xfId="0" quotePrefix="1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17" xfId="0" applyFont="1" applyBorder="1"/>
    <xf numFmtId="0" fontId="8" fillId="0" borderId="0" xfId="0" applyNumberFormat="1" applyFont="1"/>
    <xf numFmtId="0" fontId="12" fillId="0" borderId="18" xfId="0" applyFont="1" applyBorder="1" applyAlignment="1">
      <alignment horizontal="center" vertical="center"/>
    </xf>
    <xf numFmtId="1" fontId="9" fillId="0" borderId="19" xfId="0" quotePrefix="1" applyNumberFormat="1" applyFont="1" applyBorder="1" applyAlignment="1">
      <alignment horizontal="center"/>
    </xf>
    <xf numFmtId="3" fontId="9" fillId="0" borderId="20" xfId="0" quotePrefix="1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1" fontId="7" fillId="0" borderId="0" xfId="0" applyNumberFormat="1" applyFont="1"/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1" fontId="0" fillId="0" borderId="0" xfId="0" applyNumberFormat="1"/>
    <xf numFmtId="1" fontId="12" fillId="0" borderId="6" xfId="0" applyNumberFormat="1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5" fontId="12" fillId="0" borderId="6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47" fontId="0" fillId="0" borderId="0" xfId="0" applyNumberFormat="1"/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15" fontId="12" fillId="0" borderId="27" xfId="0" quotePrefix="1" applyNumberFormat="1" applyFont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/>
    </xf>
    <xf numFmtId="3" fontId="9" fillId="0" borderId="28" xfId="0" applyNumberFormat="1" applyFont="1" applyBorder="1" applyAlignment="1">
      <alignment horizontal="center"/>
    </xf>
    <xf numFmtId="15" fontId="12" fillId="0" borderId="5" xfId="0" applyNumberFormat="1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Border="1"/>
    <xf numFmtId="0" fontId="13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5" fontId="9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5" fontId="9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5" fontId="9" fillId="0" borderId="32" xfId="0" applyNumberFormat="1" applyFont="1" applyBorder="1" applyAlignment="1">
      <alignment horizontal="center" vertical="center"/>
    </xf>
    <xf numFmtId="0" fontId="12" fillId="0" borderId="0" xfId="0" applyFont="1"/>
    <xf numFmtId="164" fontId="16" fillId="0" borderId="1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20" fontId="0" fillId="0" borderId="0" xfId="0" applyNumberFormat="1"/>
    <xf numFmtId="0" fontId="13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14" fontId="0" fillId="0" borderId="0" xfId="0" applyNumberFormat="1"/>
    <xf numFmtId="0" fontId="9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" fontId="9" fillId="0" borderId="34" xfId="0" quotePrefix="1" applyNumberFormat="1" applyFont="1" applyBorder="1" applyAlignment="1">
      <alignment horizontal="center"/>
    </xf>
    <xf numFmtId="3" fontId="9" fillId="0" borderId="35" xfId="0" quotePrefix="1" applyNumberFormat="1" applyFont="1" applyBorder="1" applyAlignment="1">
      <alignment horizontal="center"/>
    </xf>
    <xf numFmtId="15" fontId="12" fillId="0" borderId="26" xfId="0" applyNumberFormat="1" applyFont="1" applyBorder="1" applyAlignment="1">
      <alignment horizontal="center" vertical="center" wrapText="1"/>
    </xf>
    <xf numFmtId="10" fontId="0" fillId="0" borderId="1" xfId="6" applyNumberFormat="1" applyFont="1" applyBorder="1" applyAlignment="1">
      <alignment horizontal="center" vertical="center"/>
    </xf>
    <xf numFmtId="21" fontId="18" fillId="0" borderId="0" xfId="0" applyNumberFormat="1" applyFont="1" applyAlignment="1">
      <alignment horizontal="center" vertical="center"/>
    </xf>
    <xf numFmtId="21" fontId="19" fillId="0" borderId="0" xfId="0" applyNumberFormat="1" applyFont="1" applyAlignment="1">
      <alignment horizontal="center" vertical="center"/>
    </xf>
    <xf numFmtId="10" fontId="0" fillId="0" borderId="0" xfId="0" applyNumberFormat="1"/>
    <xf numFmtId="14" fontId="9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66" fontId="9" fillId="0" borderId="0" xfId="6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5" fontId="12" fillId="0" borderId="0" xfId="0" applyNumberFormat="1" applyFont="1" applyAlignment="1">
      <alignment horizontal="center" vertical="center"/>
    </xf>
    <xf numFmtId="15" fontId="12" fillId="0" borderId="0" xfId="0" applyNumberFormat="1" applyFont="1" applyAlignment="1">
      <alignment horizontal="center" vertical="center" wrapText="1"/>
    </xf>
    <xf numFmtId="2" fontId="7" fillId="0" borderId="0" xfId="0" applyNumberFormat="1" applyFont="1"/>
    <xf numFmtId="21" fontId="0" fillId="3" borderId="0" xfId="0" applyNumberFormat="1" applyFill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center"/>
    </xf>
    <xf numFmtId="15" fontId="12" fillId="0" borderId="2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7" fillId="0" borderId="0" xfId="0" applyFont="1" applyBorder="1"/>
    <xf numFmtId="45" fontId="0" fillId="3" borderId="0" xfId="0" applyNumberFormat="1" applyFill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5" fontId="12" fillId="0" borderId="21" xfId="0" applyNumberFormat="1" applyFont="1" applyBorder="1" applyAlignment="1">
      <alignment horizontal="center" vertical="center"/>
    </xf>
    <xf numFmtId="0" fontId="9" fillId="0" borderId="23" xfId="0" applyFont="1" applyFill="1" applyBorder="1"/>
    <xf numFmtId="0" fontId="9" fillId="2" borderId="24" xfId="0" applyFont="1" applyFill="1" applyBorder="1"/>
    <xf numFmtId="14" fontId="9" fillId="0" borderId="21" xfId="0" applyNumberFormat="1" applyFont="1" applyFill="1" applyBorder="1" applyAlignment="1">
      <alignment horizontal="center"/>
    </xf>
    <xf numFmtId="4" fontId="9" fillId="7" borderId="5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10" fontId="9" fillId="0" borderId="1" xfId="6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9" fillId="0" borderId="0" xfId="6" applyNumberFormat="1" applyFont="1" applyFill="1" applyBorder="1" applyAlignment="1">
      <alignment horizontal="center"/>
    </xf>
    <xf numFmtId="45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9" fillId="0" borderId="1" xfId="6" applyNumberFormat="1" applyFont="1" applyFill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0" fillId="0" borderId="0" xfId="0" applyNumberFormat="1"/>
    <xf numFmtId="18" fontId="0" fillId="0" borderId="0" xfId="0" applyNumberFormat="1"/>
    <xf numFmtId="167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vertical="center"/>
    </xf>
    <xf numFmtId="165" fontId="0" fillId="0" borderId="0" xfId="0" applyNumberFormat="1"/>
    <xf numFmtId="15" fontId="12" fillId="0" borderId="0" xfId="0" applyNumberFormat="1" applyFont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/>
    </xf>
    <xf numFmtId="166" fontId="9" fillId="3" borderId="0" xfId="6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14" fillId="0" borderId="0" xfId="0" applyNumberFormat="1" applyFont="1" applyFill="1" applyAlignment="1">
      <alignment horizontal="center" vertical="center"/>
    </xf>
    <xf numFmtId="166" fontId="9" fillId="0" borderId="0" xfId="6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 vertical="center"/>
    </xf>
    <xf numFmtId="0" fontId="13" fillId="10" borderId="36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5" fontId="0" fillId="0" borderId="1" xfId="0" applyNumberFormat="1" applyFill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65" fontId="0" fillId="0" borderId="1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9" fillId="0" borderId="30" xfId="7" applyFont="1" applyBorder="1" applyAlignment="1">
      <alignment vertical="center"/>
    </xf>
    <xf numFmtId="0" fontId="9" fillId="0" borderId="31" xfId="7" applyFont="1" applyBorder="1" applyAlignment="1">
      <alignment vertical="center"/>
    </xf>
    <xf numFmtId="0" fontId="9" fillId="0" borderId="32" xfId="7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9" fillId="0" borderId="31" xfId="7" applyBorder="1" applyAlignment="1">
      <alignment vertical="center"/>
    </xf>
    <xf numFmtId="0" fontId="9" fillId="0" borderId="32" xfId="7" applyBorder="1" applyAlignment="1">
      <alignment vertical="center"/>
    </xf>
    <xf numFmtId="0" fontId="9" fillId="0" borderId="30" xfId="7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4" fontId="9" fillId="7" borderId="26" xfId="0" applyNumberFormat="1" applyFont="1" applyFill="1" applyBorder="1" applyAlignment="1">
      <alignment horizontal="center"/>
    </xf>
    <xf numFmtId="4" fontId="9" fillId="3" borderId="26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0" borderId="14" xfId="0" applyFont="1" applyBorder="1"/>
    <xf numFmtId="4" fontId="9" fillId="3" borderId="6" xfId="0" applyNumberFormat="1" applyFont="1" applyFill="1" applyBorder="1" applyAlignment="1">
      <alignment horizontal="center"/>
    </xf>
    <xf numFmtId="4" fontId="9" fillId="7" borderId="6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0" fontId="9" fillId="0" borderId="0" xfId="0" applyNumberFormat="1" applyFont="1"/>
    <xf numFmtId="165" fontId="2" fillId="0" borderId="1" xfId="8" applyNumberForma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4" fontId="20" fillId="0" borderId="1" xfId="11" applyNumberFormat="1" applyFont="1" applyBorder="1" applyAlignment="1">
      <alignment horizontal="center" vertical="center"/>
    </xf>
    <xf numFmtId="45" fontId="20" fillId="0" borderId="1" xfId="11" applyNumberFormat="1" applyFont="1" applyBorder="1" applyAlignment="1">
      <alignment horizontal="center" vertical="center"/>
    </xf>
    <xf numFmtId="10" fontId="20" fillId="0" borderId="1" xfId="11" applyNumberFormat="1" applyFont="1" applyBorder="1" applyAlignment="1">
      <alignment horizontal="center" vertical="center"/>
    </xf>
    <xf numFmtId="15" fontId="12" fillId="0" borderId="0" xfId="0" applyNumberFormat="1" applyFont="1" applyAlignment="1">
      <alignment horizontal="center" vertical="center"/>
    </xf>
    <xf numFmtId="45" fontId="12" fillId="0" borderId="1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</cellXfs>
  <cellStyles count="12">
    <cellStyle name="Comma 2" xfId="9" xr:uid="{E9FF1845-0838-4558-9499-7879E657DA63}"/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4" xfId="4" xr:uid="{00000000-0005-0000-0000-000004000000}"/>
    <cellStyle name="Normal 5" xfId="5" xr:uid="{00000000-0005-0000-0000-000005000000}"/>
    <cellStyle name="Normal 6" xfId="7" xr:uid="{D7877BEB-83BD-4F7D-AB43-ED19256F9382}"/>
    <cellStyle name="Normal 7" xfId="8" xr:uid="{C93EF69E-4198-4CC8-ABFE-B4CA64DBA01C}"/>
    <cellStyle name="Normal 8" xfId="10" xr:uid="{C80244EF-CDBF-4BB7-973C-D3564810252C}"/>
    <cellStyle name="Normal_parkrun" xfId="11" xr:uid="{9EA72A75-5207-457A-B2F7-56AF48A8C428}"/>
    <cellStyle name="Percent" xfId="6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73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26.7109375" style="2" customWidth="1"/>
    <col min="2" max="2" width="8.42578125" style="2" customWidth="1"/>
    <col min="3" max="3" width="8" style="2" bestFit="1" customWidth="1"/>
    <col min="4" max="4" width="10.28515625" style="2" hidden="1" customWidth="1"/>
    <col min="5" max="5" width="7.7109375" style="7" customWidth="1"/>
    <col min="6" max="15" width="9.85546875" style="7" customWidth="1"/>
    <col min="16" max="19" width="9.140625" style="6" customWidth="1"/>
    <col min="20" max="20" width="10.28515625" style="6" customWidth="1"/>
    <col min="21" max="21" width="11.28515625" style="2" customWidth="1"/>
    <col min="22" max="22" width="9.140625" style="2"/>
    <col min="23" max="23" width="10.28515625" style="2" hidden="1" customWidth="1"/>
    <col min="24" max="24" width="9.140625" style="2"/>
    <col min="25" max="25" width="7.42578125" style="2" bestFit="1" customWidth="1"/>
    <col min="26" max="26" width="3.140625" style="2" bestFit="1" customWidth="1"/>
    <col min="27" max="28" width="12.5703125" style="2" bestFit="1" customWidth="1"/>
    <col min="29" max="16384" width="9.140625" style="2"/>
  </cols>
  <sheetData>
    <row r="1" spans="1:28" s="1" customFormat="1" ht="18" x14ac:dyDescent="0.25">
      <c r="A1" s="9" t="s">
        <v>315</v>
      </c>
      <c r="B1" s="9"/>
      <c r="C1" s="9"/>
      <c r="D1" s="9"/>
      <c r="E1" s="8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8" s="3" customFormat="1" x14ac:dyDescent="0.2">
      <c r="A2" s="35" t="s">
        <v>0</v>
      </c>
      <c r="B2" s="78"/>
      <c r="C2" s="78"/>
      <c r="D2" s="78"/>
      <c r="E2" s="78"/>
      <c r="F2" s="31">
        <v>1</v>
      </c>
      <c r="G2" s="85">
        <v>2</v>
      </c>
      <c r="H2" s="32">
        <v>3</v>
      </c>
      <c r="I2" s="32">
        <v>4</v>
      </c>
      <c r="J2" s="54">
        <v>5</v>
      </c>
      <c r="K2" s="32">
        <v>6</v>
      </c>
      <c r="L2" s="32">
        <v>7</v>
      </c>
      <c r="M2" s="32">
        <v>8</v>
      </c>
      <c r="N2" s="54">
        <v>9</v>
      </c>
      <c r="O2" s="117">
        <v>10</v>
      </c>
      <c r="P2" s="15"/>
      <c r="Q2" s="16"/>
      <c r="R2" s="17"/>
      <c r="S2" s="17"/>
      <c r="T2" s="17"/>
      <c r="U2" s="18"/>
    </row>
    <row r="3" spans="1:28" s="4" customFormat="1" ht="62.25" customHeight="1" x14ac:dyDescent="0.2">
      <c r="A3" s="36"/>
      <c r="B3" s="79"/>
      <c r="C3" s="79"/>
      <c r="D3" s="79"/>
      <c r="E3" s="79" t="s">
        <v>1</v>
      </c>
      <c r="F3" s="19" t="s">
        <v>31</v>
      </c>
      <c r="G3" s="86" t="s">
        <v>192</v>
      </c>
      <c r="H3" s="20" t="s">
        <v>20</v>
      </c>
      <c r="I3" s="20" t="s">
        <v>21</v>
      </c>
      <c r="J3" s="20" t="s">
        <v>23</v>
      </c>
      <c r="K3" s="20" t="s">
        <v>22</v>
      </c>
      <c r="L3" s="20" t="s">
        <v>24</v>
      </c>
      <c r="M3" s="20" t="s">
        <v>114</v>
      </c>
      <c r="N3" s="20" t="s">
        <v>30</v>
      </c>
      <c r="O3" s="86" t="s">
        <v>180</v>
      </c>
      <c r="P3" s="19" t="s">
        <v>12</v>
      </c>
      <c r="Q3" s="20" t="s">
        <v>13</v>
      </c>
      <c r="R3" s="20" t="s">
        <v>235</v>
      </c>
      <c r="S3" s="20" t="s">
        <v>244</v>
      </c>
      <c r="T3" s="20" t="s">
        <v>11</v>
      </c>
      <c r="U3" s="21" t="s">
        <v>236</v>
      </c>
      <c r="W3" s="20" t="s">
        <v>177</v>
      </c>
    </row>
    <row r="4" spans="1:28" s="5" customFormat="1" ht="27.75" customHeight="1" x14ac:dyDescent="0.2">
      <c r="A4" s="37" t="s">
        <v>7</v>
      </c>
      <c r="B4" s="143" t="s">
        <v>274</v>
      </c>
      <c r="C4" s="143" t="s">
        <v>231</v>
      </c>
      <c r="D4" s="143" t="s">
        <v>232</v>
      </c>
      <c r="E4" s="135" t="s">
        <v>29</v>
      </c>
      <c r="F4" s="90">
        <v>43508</v>
      </c>
      <c r="G4" s="87">
        <v>43527</v>
      </c>
      <c r="H4" s="75">
        <v>43550</v>
      </c>
      <c r="I4" s="75">
        <v>43585</v>
      </c>
      <c r="J4" s="75">
        <v>43599</v>
      </c>
      <c r="K4" s="75">
        <v>43641</v>
      </c>
      <c r="L4" s="75">
        <v>43660</v>
      </c>
      <c r="M4" s="75">
        <v>43704</v>
      </c>
      <c r="N4" s="75">
        <v>43725</v>
      </c>
      <c r="O4" s="120" t="s">
        <v>193</v>
      </c>
      <c r="P4" s="22"/>
      <c r="Q4" s="23"/>
      <c r="R4" s="23"/>
      <c r="S4" s="23"/>
      <c r="T4" s="23"/>
      <c r="U4" s="24"/>
      <c r="W4" s="53"/>
      <c r="Y4" s="129" t="s">
        <v>187</v>
      </c>
      <c r="Z4" s="129" t="s">
        <v>188</v>
      </c>
      <c r="AA4" s="130" t="s">
        <v>190</v>
      </c>
      <c r="AB4" s="130" t="s">
        <v>189</v>
      </c>
    </row>
    <row r="5" spans="1:28" x14ac:dyDescent="0.2">
      <c r="A5" s="38" t="s">
        <v>321</v>
      </c>
      <c r="B5" s="81">
        <v>284</v>
      </c>
      <c r="C5" s="81" t="s">
        <v>234</v>
      </c>
      <c r="D5" s="146">
        <v>29064</v>
      </c>
      <c r="E5" s="81" t="s">
        <v>214</v>
      </c>
      <c r="F5" s="61">
        <f>IF(ISNA(VLOOKUP($A5,'2 Bridges Relay'!$F$2:$F$67,1,FALSE)),0,VLOOKUP($A5,'2 Bridges Relay'!$F$2:$J$67,5,FALSE))</f>
        <v>93.33</v>
      </c>
      <c r="G5" s="88">
        <f>IF(ISNA(VLOOKUP($A5,'5M''s'!$D$2:$E$27,1,FALSE)),0,VLOOKUP($A5,'5M''s'!$D$2:$E$27,2,FALSE))</f>
        <v>90</v>
      </c>
      <c r="H5" s="62">
        <f>IF(ISNA(VLOOKUP($A5,'Mile handicap'!$C$2:$C$51,1,FALSE)),0,VLOOKUP($A5,'Mile handicap'!$C$2:$K$51,9,FALSE))</f>
        <v>70.73</v>
      </c>
      <c r="I5" s="218">
        <f>IF(ISNA(VLOOKUP($A5,'5000m handicap'!$C$2:$C$46,1,FALSE)),0,VLOOKUP($A5,'5000m handicap'!$C$2:$K$46,9,FALSE))</f>
        <v>60.53</v>
      </c>
      <c r="J5" s="62">
        <f>IF(ISNA(VLOOKUP($A5,'KL handicap'!$C$2:$C$37,1,FALSE)),0,VLOOKUP($A5,'KL handicap'!$C$2:$I$37,7,FALSE))</f>
        <v>71.430000000000007</v>
      </c>
      <c r="K5" s="62">
        <f>IF(ISNA(VLOOKUP($A5,'3000m handicap'!$C$2:$C$47,1,FALSE)),0,VLOOKUP($A5,'3000m handicap'!$C$2:$K$47,9,FALSE))</f>
        <v>69.44</v>
      </c>
      <c r="L5" s="62">
        <f>IF(ISNA(VLOOKUP($A5,'10 km'!$B$2:$B$50,1,FALSE)),0,VLOOKUP($A5,'10 km'!$B$2:$D$50,3,FALSE))</f>
        <v>16.329999999999998</v>
      </c>
      <c r="M5" s="62">
        <f>IF(ISNA(VLOOKUP($A5,'Peter Moor 2000m'!$C$2:$C$30,1,FALSE)),0,VLOOKUP($A5,'Peter Moor 2000m'!$C$2:$I$30,7,FALSE))</f>
        <v>68.180000000000007</v>
      </c>
      <c r="N5" s="62">
        <f>IF(ISNA(VLOOKUP($A5,'Max Howard Tan handicap'!$C$2:$C$21,1,FALSE)),0,VLOOKUP($A5,'Max Howard Tan handicap'!$C$2:$I$21,7,FALSE))</f>
        <v>68.75</v>
      </c>
      <c r="O5" s="88">
        <f>IF(ISNA(VLOOKUP($A5,parkrun!$B$2:$H$145,1,FALSE)),0,VLOOKUP($A5,parkrun!$B$2:$H$145,7,FALSE))</f>
        <v>62.5</v>
      </c>
      <c r="P5" s="133">
        <f t="shared" ref="P5:P36" si="0">SUM(F5:O5)</f>
        <v>671.22</v>
      </c>
      <c r="Q5" s="134">
        <f t="shared" ref="Q5:Q36" si="1">COUNTIF(F5:O5,"&gt;0")</f>
        <v>10</v>
      </c>
      <c r="R5" s="64">
        <f t="shared" ref="R5:R36" si="2">SMALL(F5:O5,1)+SMALL(F5:O5,2)+SMALL(F5:O5,3)+SMALL(F5:O5,4)</f>
        <v>207.54000000000002</v>
      </c>
      <c r="S5" s="64">
        <f t="shared" ref="S5:S36" si="3">IF(Q5=1,P5,P5-R5)</f>
        <v>463.68</v>
      </c>
      <c r="T5" s="25">
        <f t="shared" ref="T5:T36" si="4">RANK(P5,$P$5:$P$57,0)</f>
        <v>1</v>
      </c>
      <c r="U5" s="26">
        <f t="shared" ref="U5:U36" si="5">RANK(S5,$S$5:$S$57,0)</f>
        <v>1</v>
      </c>
      <c r="V5" s="131"/>
      <c r="W5" s="113">
        <v>27344</v>
      </c>
      <c r="X5" s="58"/>
      <c r="Y5" s="126">
        <v>10</v>
      </c>
      <c r="Z5" s="126">
        <f t="shared" ref="Z5:Z15" si="6">COUNTIF($Q$5:$Q$57,Y5)</f>
        <v>1</v>
      </c>
      <c r="AA5" s="127">
        <f>Z5/$Z$16</f>
        <v>1.9230769230769232E-2</v>
      </c>
      <c r="AB5" s="127">
        <f>Z5/($Z$16-$Z$15)</f>
        <v>3.5714285714285712E-2</v>
      </c>
    </row>
    <row r="6" spans="1:28" x14ac:dyDescent="0.2">
      <c r="A6" s="38" t="s">
        <v>257</v>
      </c>
      <c r="B6" s="81">
        <v>240</v>
      </c>
      <c r="C6" s="81" t="s">
        <v>234</v>
      </c>
      <c r="D6" s="146">
        <v>30088</v>
      </c>
      <c r="E6" s="81" t="s">
        <v>214</v>
      </c>
      <c r="F6" s="61">
        <f>IF(ISNA(VLOOKUP($A6,'2 Bridges Relay'!$F$2:$F$67,1,FALSE)),0,VLOOKUP($A6,'2 Bridges Relay'!$F$2:$J$67,5,FALSE))</f>
        <v>76.67</v>
      </c>
      <c r="G6" s="88">
        <f>IF(ISNA(VLOOKUP($A6,'5M''s'!$D$2:$E$27,1,FALSE)),0,VLOOKUP($A6,'5M''s'!$D$2:$E$27,2,FALSE))</f>
        <v>60</v>
      </c>
      <c r="H6" s="62">
        <f>IF(ISNA(VLOOKUP($A6,'Mile handicap'!$C$2:$C$51,1,FALSE)),0,VLOOKUP($A6,'Mile handicap'!$C$2:$K$51,9,FALSE))</f>
        <v>0</v>
      </c>
      <c r="I6" s="223">
        <f>IF(ISNA(VLOOKUP($A6,'5000m handicap'!$C$2:$C$46,1,FALSE)),0,VLOOKUP($A6,'5000m handicap'!$C$2:$K$46,9,FALSE))</f>
        <v>60.53</v>
      </c>
      <c r="J6" s="62">
        <f>IF(ISNA(VLOOKUP($A6,'KL handicap'!$C$2:$C$37,1,FALSE)),0,VLOOKUP($A6,'KL handicap'!$C$2:$I$37,7,FALSE))</f>
        <v>60.71</v>
      </c>
      <c r="K6" s="62">
        <f>IF(ISNA(VLOOKUP($A6,'3000m handicap'!$C$2:$C$47,1,FALSE)),0,VLOOKUP($A6,'3000m handicap'!$C$2:$K$47,9,FALSE))</f>
        <v>91.67</v>
      </c>
      <c r="L6" s="62">
        <f>IF(ISNA(VLOOKUP($A6,'10 km'!$B$2:$B$50,1,FALSE)),0,VLOOKUP($A6,'10 km'!$B$2:$D$50,3,FALSE))</f>
        <v>0</v>
      </c>
      <c r="M6" s="62">
        <f>IF(ISNA(VLOOKUP($A6,'Peter Moor 2000m'!$C$2:$C$30,1,FALSE)),0,VLOOKUP($A6,'Peter Moor 2000m'!$C$2:$I$30,7,FALSE))</f>
        <v>0</v>
      </c>
      <c r="N6" s="62">
        <f>IF(ISNA(VLOOKUP($A6,'Max Howard Tan handicap'!$C$2:$C$21,1,FALSE)),0,VLOOKUP($A6,'Max Howard Tan handicap'!$C$2:$I$21,7,FALSE))</f>
        <v>0</v>
      </c>
      <c r="O6" s="62">
        <f>IF(ISNA(VLOOKUP($A6,parkrun!$B$2:$H$145,1,FALSE)),0,VLOOKUP($A6,parkrun!$B$2:$H$145,7,FALSE))</f>
        <v>89.58</v>
      </c>
      <c r="P6" s="133">
        <f t="shared" si="0"/>
        <v>439.16</v>
      </c>
      <c r="Q6" s="134">
        <f t="shared" si="1"/>
        <v>6</v>
      </c>
      <c r="R6" s="64">
        <f t="shared" si="2"/>
        <v>0</v>
      </c>
      <c r="S6" s="64">
        <f t="shared" si="3"/>
        <v>439.16</v>
      </c>
      <c r="T6" s="25">
        <f t="shared" si="4"/>
        <v>2</v>
      </c>
      <c r="U6" s="26">
        <f t="shared" si="5"/>
        <v>2</v>
      </c>
      <c r="W6" s="113">
        <v>26154</v>
      </c>
      <c r="X6" s="58"/>
      <c r="Y6" s="126">
        <v>9</v>
      </c>
      <c r="Z6" s="126">
        <f t="shared" si="6"/>
        <v>0</v>
      </c>
      <c r="AA6" s="127">
        <f t="shared" ref="AA6:AA15" si="7">(Z6/$Z$16)+AA5</f>
        <v>1.9230769230769232E-2</v>
      </c>
      <c r="AB6" s="127">
        <f>Z6/($Z$16-$Z$15)+AB5</f>
        <v>3.5714285714285712E-2</v>
      </c>
    </row>
    <row r="7" spans="1:28" x14ac:dyDescent="0.2">
      <c r="A7" s="38" t="s">
        <v>119</v>
      </c>
      <c r="B7" s="81">
        <v>144</v>
      </c>
      <c r="C7" s="81" t="s">
        <v>234</v>
      </c>
      <c r="D7" s="146">
        <v>26072</v>
      </c>
      <c r="E7" s="81" t="s">
        <v>214</v>
      </c>
      <c r="F7" s="148">
        <f>IF(ISNA(VLOOKUP($A7,'2 Bridges Relay'!$F$2:$F$67,1,FALSE)),0,VLOOKUP($A7,'2 Bridges Relay'!$F$2:$J$67,5,FALSE))</f>
        <v>83.33</v>
      </c>
      <c r="G7" s="88">
        <f>IF(ISNA(VLOOKUP($A7,'5M''s'!$D$2:$E$27,1,FALSE)),0,VLOOKUP($A7,'5M''s'!$D$2:$E$27,2,FALSE))</f>
        <v>0</v>
      </c>
      <c r="H7" s="62">
        <f>IF(ISNA(VLOOKUP($A7,'Mile handicap'!$C$2:$C$51,1,FALSE)),0,VLOOKUP($A7,'Mile handicap'!$C$2:$K$51,9,FALSE))</f>
        <v>90.24</v>
      </c>
      <c r="I7" s="62">
        <f>IF(ISNA(VLOOKUP($A7,'5000m handicap'!$C$2:$C$46,1,FALSE)),0,VLOOKUP($A7,'5000m handicap'!$C$2:$K$46,9,FALSE))</f>
        <v>50</v>
      </c>
      <c r="J7" s="62">
        <f>IF(ISNA(VLOOKUP($A7,'KL handicap'!$C$2:$C$37,1,FALSE)),0,VLOOKUP($A7,'KL handicap'!$C$2:$I$37,7,FALSE))</f>
        <v>0</v>
      </c>
      <c r="K7" s="62">
        <f>IF(ISNA(VLOOKUP($A7,'3000m handicap'!$C$2:$C$47,1,FALSE)),0,VLOOKUP($A7,'3000m handicap'!$C$2:$K$47,9,FALSE))</f>
        <v>63.89</v>
      </c>
      <c r="L7" s="62">
        <f>IF(ISNA(VLOOKUP($A7,'10 km'!$B$2:$B$50,1,FALSE)),0,VLOOKUP($A7,'10 km'!$B$2:$D$50,3,FALSE))</f>
        <v>30.61</v>
      </c>
      <c r="M7" s="62">
        <f>IF(ISNA(VLOOKUP($A7,'Peter Moor 2000m'!$C$2:$C$30,1,FALSE)),0,VLOOKUP($A7,'Peter Moor 2000m'!$C$2:$I$30,7,FALSE))</f>
        <v>0</v>
      </c>
      <c r="N7" s="62">
        <f>IF(ISNA(VLOOKUP($A7,'Max Howard Tan handicap'!$C$2:$C$21,1,FALSE)),0,VLOOKUP($A7,'Max Howard Tan handicap'!$C$2:$I$21,7,FALSE))</f>
        <v>0</v>
      </c>
      <c r="O7" s="88">
        <f>IF(ISNA(VLOOKUP($A7,parkrun!$B$2:$H$145,1,FALSE)),0,VLOOKUP($A7,parkrun!$B$2:$H$145,7,FALSE))</f>
        <v>84.72</v>
      </c>
      <c r="P7" s="133">
        <f t="shared" si="0"/>
        <v>402.78999999999996</v>
      </c>
      <c r="Q7" s="134">
        <f t="shared" si="1"/>
        <v>6</v>
      </c>
      <c r="R7" s="64">
        <f t="shared" si="2"/>
        <v>0</v>
      </c>
      <c r="S7" s="64">
        <f t="shared" si="3"/>
        <v>402.78999999999996</v>
      </c>
      <c r="T7" s="25">
        <f t="shared" si="4"/>
        <v>3</v>
      </c>
      <c r="U7" s="26">
        <f t="shared" si="5"/>
        <v>3</v>
      </c>
      <c r="W7" s="113">
        <v>22747</v>
      </c>
      <c r="X7" s="58"/>
      <c r="Y7" s="126">
        <v>8</v>
      </c>
      <c r="Z7" s="126">
        <f t="shared" si="6"/>
        <v>0</v>
      </c>
      <c r="AA7" s="127">
        <f t="shared" si="7"/>
        <v>1.9230769230769232E-2</v>
      </c>
      <c r="AB7" s="127">
        <f t="shared" ref="AB7:AB14" si="8">(Z7/($Z$16-$Z$15))+AB6</f>
        <v>3.5714285714285712E-2</v>
      </c>
    </row>
    <row r="8" spans="1:28" x14ac:dyDescent="0.2">
      <c r="A8" s="38" t="s">
        <v>327</v>
      </c>
      <c r="B8" s="81">
        <v>43</v>
      </c>
      <c r="C8" s="81" t="s">
        <v>234</v>
      </c>
      <c r="D8" s="146">
        <v>27487</v>
      </c>
      <c r="E8" s="81" t="s">
        <v>214</v>
      </c>
      <c r="F8" s="61">
        <f>IF(ISNA(VLOOKUP($A8,'2 Bridges Relay'!$F$2:$F$67,1,FALSE)),0,VLOOKUP($A8,'2 Bridges Relay'!$F$2:$J$67,5,FALSE))</f>
        <v>80</v>
      </c>
      <c r="G8" s="217">
        <f>IF(ISNA(VLOOKUP($A8,'5M''s'!$D$2:$E$27,1,FALSE)),0,VLOOKUP($A8,'5M''s'!$D$2:$E$27,2,FALSE))</f>
        <v>100</v>
      </c>
      <c r="H8" s="62">
        <f>IF(ISNA(VLOOKUP($A8,'Mile handicap'!$C$2:$C$51,1,FALSE)),0,VLOOKUP($A8,'Mile handicap'!$C$2:$K$51,9,FALSE))</f>
        <v>19.510000000000002</v>
      </c>
      <c r="I8" s="223">
        <f>IF(ISNA(VLOOKUP($A8,'5000m handicap'!$C$2:$C$46,1,FALSE)),0,VLOOKUP($A8,'5000m handicap'!$C$2:$K$46,9,FALSE))</f>
        <v>60.53</v>
      </c>
      <c r="J8" s="62">
        <f>IF(ISNA(VLOOKUP($A8,'KL handicap'!$C$2:$C$37,1,FALSE)),0,VLOOKUP($A8,'KL handicap'!$C$2:$I$37,7,FALSE))</f>
        <v>3.57</v>
      </c>
      <c r="K8" s="62">
        <f>IF(ISNA(VLOOKUP($A8,'3000m handicap'!$C$2:$C$47,1,FALSE)),0,VLOOKUP($A8,'3000m handicap'!$C$2:$K$47,9,FALSE))</f>
        <v>0</v>
      </c>
      <c r="L8" s="62">
        <f>IF(ISNA(VLOOKUP($A8,'10 km'!$B$2:$B$50,1,FALSE)),0,VLOOKUP($A8,'10 km'!$B$2:$D$50,3,FALSE))</f>
        <v>0</v>
      </c>
      <c r="M8" s="62">
        <f>IF(ISNA(VLOOKUP($A8,'Peter Moor 2000m'!$C$2:$C$30,1,FALSE)),0,VLOOKUP($A8,'Peter Moor 2000m'!$C$2:$I$30,7,FALSE))</f>
        <v>0</v>
      </c>
      <c r="N8" s="62">
        <f>IF(ISNA(VLOOKUP($A8,'Max Howard Tan handicap'!$C$2:$C$21,1,FALSE)),0,VLOOKUP($A8,'Max Howard Tan handicap'!$C$2:$I$21,7,FALSE))</f>
        <v>0</v>
      </c>
      <c r="O8" s="88">
        <f>IF(ISNA(VLOOKUP($A8,parkrun!$B$2:$H$145,1,FALSE)),0,VLOOKUP($A8,parkrun!$B$2:$H$145,7,FALSE))</f>
        <v>97.22</v>
      </c>
      <c r="P8" s="133">
        <f t="shared" si="0"/>
        <v>360.82999999999993</v>
      </c>
      <c r="Q8" s="134">
        <f t="shared" si="1"/>
        <v>6</v>
      </c>
      <c r="R8" s="64">
        <f t="shared" si="2"/>
        <v>0</v>
      </c>
      <c r="S8" s="64">
        <f t="shared" si="3"/>
        <v>360.82999999999993</v>
      </c>
      <c r="T8" s="25">
        <f t="shared" si="4"/>
        <v>4</v>
      </c>
      <c r="U8" s="26">
        <f t="shared" si="5"/>
        <v>4</v>
      </c>
      <c r="W8" s="113">
        <v>25581</v>
      </c>
      <c r="X8" s="58"/>
      <c r="Y8" s="126">
        <v>7</v>
      </c>
      <c r="Z8" s="126">
        <f t="shared" si="6"/>
        <v>0</v>
      </c>
      <c r="AA8" s="127">
        <f t="shared" si="7"/>
        <v>1.9230769230769232E-2</v>
      </c>
      <c r="AB8" s="127">
        <f t="shared" si="8"/>
        <v>3.5714285714285712E-2</v>
      </c>
    </row>
    <row r="9" spans="1:28" x14ac:dyDescent="0.2">
      <c r="A9" s="38" t="s">
        <v>132</v>
      </c>
      <c r="B9" s="81">
        <v>158</v>
      </c>
      <c r="C9" s="81" t="s">
        <v>234</v>
      </c>
      <c r="D9" s="146">
        <v>26202</v>
      </c>
      <c r="E9" s="81" t="s">
        <v>214</v>
      </c>
      <c r="F9" s="61">
        <f>IF(ISNA(VLOOKUP($A9,'2 Bridges Relay'!$F$2:$F$67,1,FALSE)),0,VLOOKUP($A9,'2 Bridges Relay'!$F$2:$J$67,5,FALSE))</f>
        <v>83.33</v>
      </c>
      <c r="G9" s="88">
        <f>IF(ISNA(VLOOKUP($A9,'5M''s'!$D$2:$E$27,1,FALSE)),0,VLOOKUP($A9,'5M''s'!$D$2:$E$27,2,FALSE))</f>
        <v>0</v>
      </c>
      <c r="H9" s="62">
        <f>IF(ISNA(VLOOKUP($A9,'Mile handicap'!$C$2:$C$51,1,FALSE)),0,VLOOKUP($A9,'Mile handicap'!$C$2:$K$51,9,FALSE))</f>
        <v>17.07</v>
      </c>
      <c r="I9" s="88">
        <f>IF(ISNA(VLOOKUP($A9,'5000m handicap'!$C$2:$C$46,1,FALSE)),0,VLOOKUP($A9,'5000m handicap'!$C$2:$K$46,9,FALSE))</f>
        <v>0</v>
      </c>
      <c r="J9" s="62">
        <f>IF(ISNA(VLOOKUP($A9,'KL handicap'!$C$2:$C$37,1,FALSE)),0,VLOOKUP($A9,'KL handicap'!$C$2:$I$37,7,FALSE))</f>
        <v>75</v>
      </c>
      <c r="K9" s="62">
        <f>IF(ISNA(VLOOKUP($A9,'3000m handicap'!$C$2:$C$47,1,FALSE)),0,VLOOKUP($A9,'3000m handicap'!$C$2:$K$47,9,FALSE))</f>
        <v>94.44</v>
      </c>
      <c r="L9" s="62">
        <f>IF(ISNA(VLOOKUP($A9,'10 km'!$B$2:$B$50,1,FALSE)),0,VLOOKUP($A9,'10 km'!$B$2:$D$50,3,FALSE))</f>
        <v>0</v>
      </c>
      <c r="M9" s="62">
        <f>IF(ISNA(VLOOKUP($A9,'Peter Moor 2000m'!$C$2:$C$30,1,FALSE)),0,VLOOKUP($A9,'Peter Moor 2000m'!$C$2:$I$30,7,FALSE))</f>
        <v>0</v>
      </c>
      <c r="N9" s="62">
        <f>IF(ISNA(VLOOKUP($A9,'Max Howard Tan handicap'!$C$2:$C$21,1,FALSE)),0,VLOOKUP($A9,'Max Howard Tan handicap'!$C$2:$I$21,7,FALSE))</f>
        <v>0</v>
      </c>
      <c r="O9" s="88">
        <f>IF(ISNA(VLOOKUP($A9,parkrun!$B$2:$H$145,1,FALSE)),0,VLOOKUP($A9,parkrun!$B$2:$H$145,7,FALSE))</f>
        <v>82.64</v>
      </c>
      <c r="P9" s="133">
        <f t="shared" si="0"/>
        <v>352.48</v>
      </c>
      <c r="Q9" s="134">
        <f t="shared" si="1"/>
        <v>5</v>
      </c>
      <c r="R9" s="64">
        <f t="shared" si="2"/>
        <v>0</v>
      </c>
      <c r="S9" s="64">
        <f t="shared" si="3"/>
        <v>352.48</v>
      </c>
      <c r="T9" s="25">
        <f t="shared" si="4"/>
        <v>5</v>
      </c>
      <c r="U9" s="26">
        <f t="shared" si="5"/>
        <v>5</v>
      </c>
      <c r="W9" s="113">
        <v>27732</v>
      </c>
      <c r="X9" s="58"/>
      <c r="Y9" s="126">
        <v>6</v>
      </c>
      <c r="Z9" s="126">
        <f t="shared" si="6"/>
        <v>3</v>
      </c>
      <c r="AA9" s="127">
        <f t="shared" si="7"/>
        <v>7.6923076923076927E-2</v>
      </c>
      <c r="AB9" s="127">
        <f t="shared" si="8"/>
        <v>0.14285714285714285</v>
      </c>
    </row>
    <row r="10" spans="1:28" x14ac:dyDescent="0.2">
      <c r="A10" s="38" t="s">
        <v>151</v>
      </c>
      <c r="B10" s="81">
        <v>168</v>
      </c>
      <c r="C10" s="81" t="s">
        <v>234</v>
      </c>
      <c r="D10" s="146">
        <v>30558</v>
      </c>
      <c r="E10" s="81" t="s">
        <v>214</v>
      </c>
      <c r="F10" s="61">
        <f>IF(ISNA(VLOOKUP($A10,'2 Bridges Relay'!$F$2:$F$67,1,FALSE)),0,VLOOKUP($A10,'2 Bridges Relay'!$F$2:$J$67,5,FALSE))</f>
        <v>73.33</v>
      </c>
      <c r="G10" s="218">
        <f>IF(ISNA(VLOOKUP($A10,'5M''s'!$D$2:$E$27,1,FALSE)),0,VLOOKUP($A10,'5M''s'!$D$2:$E$27,2,FALSE))</f>
        <v>90</v>
      </c>
      <c r="H10" s="62">
        <f>IF(ISNA(VLOOKUP($A10,'Mile handicap'!$C$2:$C$51,1,FALSE)),0,VLOOKUP($A10,'Mile handicap'!$C$2:$K$51,9,FALSE))</f>
        <v>36.590000000000003</v>
      </c>
      <c r="I10" s="62">
        <f>IF(ISNA(VLOOKUP($A10,'5000m handicap'!$C$2:$C$46,1,FALSE)),0,VLOOKUP($A10,'5000m handicap'!$C$2:$K$46,9,FALSE))</f>
        <v>15.79</v>
      </c>
      <c r="J10" s="62">
        <f>IF(ISNA(VLOOKUP($A10,'KL handicap'!$C$2:$C$37,1,FALSE)),0,VLOOKUP($A10,'KL handicap'!$C$2:$I$37,7,FALSE))</f>
        <v>0</v>
      </c>
      <c r="K10" s="62">
        <f>IF(ISNA(VLOOKUP($A10,'3000m handicap'!$C$2:$C$47,1,FALSE)),0,VLOOKUP($A10,'3000m handicap'!$C$2:$K$47,9,FALSE))</f>
        <v>0</v>
      </c>
      <c r="L10" s="62">
        <f>IF(ISNA(VLOOKUP($A10,'10 km'!$B$2:$B$50,1,FALSE)),0,VLOOKUP($A10,'10 km'!$B$2:$D$50,3,FALSE))</f>
        <v>0</v>
      </c>
      <c r="M10" s="62">
        <f>IF(ISNA(VLOOKUP($A10,'Peter Moor 2000m'!$C$2:$C$30,1,FALSE)),0,VLOOKUP($A10,'Peter Moor 2000m'!$C$2:$I$30,7,FALSE))</f>
        <v>0</v>
      </c>
      <c r="N10" s="62">
        <f>IF(ISNA(VLOOKUP($A10,'Max Howard Tan handicap'!$C$2:$C$21,1,FALSE)),0,VLOOKUP($A10,'Max Howard Tan handicap'!$C$2:$I$21,7,FALSE))</f>
        <v>0</v>
      </c>
      <c r="O10" s="88">
        <f>IF(ISNA(VLOOKUP($A10,parkrun!$B$2:$H$145,1,FALSE)),0,VLOOKUP($A10,parkrun!$B$2:$H$145,7,FALSE))</f>
        <v>79.17</v>
      </c>
      <c r="P10" s="133">
        <f t="shared" si="0"/>
        <v>294.88</v>
      </c>
      <c r="Q10" s="134">
        <f t="shared" si="1"/>
        <v>5</v>
      </c>
      <c r="R10" s="64">
        <f t="shared" si="2"/>
        <v>0</v>
      </c>
      <c r="S10" s="64">
        <f t="shared" si="3"/>
        <v>294.88</v>
      </c>
      <c r="T10" s="25">
        <f t="shared" si="4"/>
        <v>6</v>
      </c>
      <c r="U10" s="26">
        <f t="shared" si="5"/>
        <v>6</v>
      </c>
      <c r="W10" s="113">
        <v>28051</v>
      </c>
      <c r="X10" s="58"/>
      <c r="Y10" s="126">
        <v>5</v>
      </c>
      <c r="Z10" s="126">
        <f t="shared" si="6"/>
        <v>4</v>
      </c>
      <c r="AA10" s="127">
        <f t="shared" si="7"/>
        <v>0.15384615384615385</v>
      </c>
      <c r="AB10" s="127">
        <f t="shared" si="8"/>
        <v>0.2857142857142857</v>
      </c>
    </row>
    <row r="11" spans="1:28" x14ac:dyDescent="0.2">
      <c r="A11" s="38" t="s">
        <v>116</v>
      </c>
      <c r="B11" s="81">
        <v>141</v>
      </c>
      <c r="C11" s="81" t="s">
        <v>234</v>
      </c>
      <c r="D11" s="146">
        <v>28142</v>
      </c>
      <c r="E11" s="81" t="s">
        <v>214</v>
      </c>
      <c r="F11" s="61">
        <f>IF(ISNA(VLOOKUP($A11,'2 Bridges Relay'!$F$2:$F$67,1,FALSE)),0,VLOOKUP($A11,'2 Bridges Relay'!$F$2:$J$67,5,FALSE))</f>
        <v>63.33</v>
      </c>
      <c r="G11" s="88">
        <f>IF(ISNA(VLOOKUP($A11,'5M''s'!$D$2:$E$27,1,FALSE)),0,VLOOKUP($A11,'5M''s'!$D$2:$E$27,2,FALSE))</f>
        <v>0</v>
      </c>
      <c r="H11" s="62">
        <f>IF(ISNA(VLOOKUP($A11,'Mile handicap'!$C$2:$C$51,1,FALSE)),0,VLOOKUP($A11,'Mile handicap'!$C$2:$K$51,9,FALSE))</f>
        <v>53.66</v>
      </c>
      <c r="I11" s="62">
        <f>IF(ISNA(VLOOKUP($A11,'5000m handicap'!$C$2:$C$46,1,FALSE)),0,VLOOKUP($A11,'5000m handicap'!$C$2:$K$46,9,FALSE))</f>
        <v>0</v>
      </c>
      <c r="J11" s="62">
        <f>IF(ISNA(VLOOKUP($A11,'KL handicap'!$C$2:$C$37,1,FALSE)),0,VLOOKUP($A11,'KL handicap'!$C$2:$I$37,7,FALSE))</f>
        <v>39.29</v>
      </c>
      <c r="K11" s="62">
        <f>IF(ISNA(VLOOKUP($A11,'3000m handicap'!$C$2:$C$47,1,FALSE)),0,VLOOKUP($A11,'3000m handicap'!$C$2:$K$47,9,FALSE))</f>
        <v>0</v>
      </c>
      <c r="L11" s="62">
        <f>IF(ISNA(VLOOKUP($A11,'10 km'!$B$2:$B$50,1,FALSE)),0,VLOOKUP($A11,'10 km'!$B$2:$D$50,3,FALSE))</f>
        <v>0</v>
      </c>
      <c r="M11" s="62">
        <f>IF(ISNA(VLOOKUP($A11,'Peter Moor 2000m'!$C$2:$C$30,1,FALSE)),0,VLOOKUP($A11,'Peter Moor 2000m'!$C$2:$I$30,7,FALSE))</f>
        <v>0</v>
      </c>
      <c r="N11" s="62">
        <f>IF(ISNA(VLOOKUP($A11,'Max Howard Tan handicap'!$C$2:$C$21,1,FALSE)),0,VLOOKUP($A11,'Max Howard Tan handicap'!$C$2:$I$21,7,FALSE))</f>
        <v>0</v>
      </c>
      <c r="O11" s="88">
        <f>IF(ISNA(VLOOKUP($A11,parkrun!$B$2:$H$145,1,FALSE)),0,VLOOKUP($A11,parkrun!$B$2:$H$145,7,FALSE))</f>
        <v>71.53</v>
      </c>
      <c r="P11" s="133">
        <f t="shared" si="0"/>
        <v>227.81</v>
      </c>
      <c r="Q11" s="134">
        <f t="shared" si="1"/>
        <v>4</v>
      </c>
      <c r="R11" s="64">
        <f t="shared" si="2"/>
        <v>0</v>
      </c>
      <c r="S11" s="64">
        <f t="shared" si="3"/>
        <v>227.81</v>
      </c>
      <c r="T11" s="25">
        <f t="shared" si="4"/>
        <v>7</v>
      </c>
      <c r="U11" s="26">
        <f t="shared" si="5"/>
        <v>7</v>
      </c>
      <c r="W11" s="113">
        <v>25984</v>
      </c>
      <c r="X11" s="58"/>
      <c r="Y11" s="184">
        <v>4</v>
      </c>
      <c r="Z11" s="184">
        <f t="shared" si="6"/>
        <v>2</v>
      </c>
      <c r="AA11" s="185">
        <f t="shared" si="7"/>
        <v>0.19230769230769232</v>
      </c>
      <c r="AB11" s="185">
        <f t="shared" si="8"/>
        <v>0.3571428571428571</v>
      </c>
    </row>
    <row r="12" spans="1:28" x14ac:dyDescent="0.2">
      <c r="A12" s="38" t="s">
        <v>439</v>
      </c>
      <c r="B12" s="81">
        <v>313</v>
      </c>
      <c r="C12" s="81" t="s">
        <v>234</v>
      </c>
      <c r="D12" s="146">
        <v>30153</v>
      </c>
      <c r="E12" s="81" t="s">
        <v>214</v>
      </c>
      <c r="F12" s="61">
        <f>IF(ISNA(VLOOKUP($A12,'2 Bridges Relay'!$F$2:$F$67,1,FALSE)),0,VLOOKUP($A12,'2 Bridges Relay'!$F$2:$J$67,5,FALSE))</f>
        <v>0</v>
      </c>
      <c r="G12" s="88">
        <f>IF(ISNA(VLOOKUP($A12,'5M''s'!$D$2:$E$27,1,FALSE)),0,VLOOKUP($A12,'5M''s'!$D$2:$E$27,2,FALSE))</f>
        <v>0</v>
      </c>
      <c r="H12" s="62">
        <f>IF(ISNA(VLOOKUP($A12,'Mile handicap'!$C$2:$C$51,1,FALSE)),0,VLOOKUP($A12,'Mile handicap'!$C$2:$K$51,9,FALSE))</f>
        <v>0</v>
      </c>
      <c r="I12" s="62">
        <f>IF(ISNA(VLOOKUP($A12,'5000m handicap'!$C$2:$C$46,1,FALSE)),0,VLOOKUP($A12,'5000m handicap'!$C$2:$K$46,9,FALSE))</f>
        <v>42.11</v>
      </c>
      <c r="J12" s="62">
        <f>IF(ISNA(VLOOKUP($A12,'KL handicap'!$C$2:$C$37,1,FALSE)),0,VLOOKUP($A12,'KL handicap'!$C$2:$I$37,7,FALSE))</f>
        <v>14.29</v>
      </c>
      <c r="K12" s="62">
        <f>IF(ISNA(VLOOKUP($A12,'3000m handicap'!$C$2:$C$47,1,FALSE)),0,VLOOKUP($A12,'3000m handicap'!$C$2:$K$47,9,FALSE))</f>
        <v>97.22</v>
      </c>
      <c r="L12" s="62">
        <f>IF(ISNA(VLOOKUP($A12,'10 km'!$B$2:$B$50,1,FALSE)),0,VLOOKUP($A12,'10 km'!$B$2:$D$50,3,FALSE))</f>
        <v>0</v>
      </c>
      <c r="M12" s="62">
        <f>IF(ISNA(VLOOKUP($A12,'Peter Moor 2000m'!$C$2:$C$30,1,FALSE)),0,VLOOKUP($A12,'Peter Moor 2000m'!$C$2:$I$30,7,FALSE))</f>
        <v>0</v>
      </c>
      <c r="N12" s="62">
        <f>IF(ISNA(VLOOKUP($A12,'Max Howard Tan handicap'!$C$2:$C$21,1,FALSE)),0,VLOOKUP($A12,'Max Howard Tan handicap'!$C$2:$I$21,7,FALSE))</f>
        <v>0</v>
      </c>
      <c r="O12" s="88">
        <f>IF(ISNA(VLOOKUP($A12,parkrun!$B$2:$H$145,1,FALSE)),0,VLOOKUP($A12,parkrun!$B$2:$H$145,7,FALSE))</f>
        <v>22.22</v>
      </c>
      <c r="P12" s="133">
        <f t="shared" si="0"/>
        <v>175.84</v>
      </c>
      <c r="Q12" s="134">
        <f t="shared" si="1"/>
        <v>4</v>
      </c>
      <c r="R12" s="64">
        <f t="shared" si="2"/>
        <v>0</v>
      </c>
      <c r="S12" s="64">
        <f t="shared" si="3"/>
        <v>175.84</v>
      </c>
      <c r="T12" s="25">
        <f t="shared" si="4"/>
        <v>8</v>
      </c>
      <c r="U12" s="26">
        <f t="shared" si="5"/>
        <v>8</v>
      </c>
      <c r="W12" s="113">
        <v>28142</v>
      </c>
      <c r="X12" s="58"/>
      <c r="Y12" s="184">
        <v>3</v>
      </c>
      <c r="Z12" s="184">
        <f t="shared" si="6"/>
        <v>3</v>
      </c>
      <c r="AA12" s="185">
        <f t="shared" si="7"/>
        <v>0.25</v>
      </c>
      <c r="AB12" s="185">
        <f t="shared" si="8"/>
        <v>0.46428571428571425</v>
      </c>
    </row>
    <row r="13" spans="1:28" x14ac:dyDescent="0.2">
      <c r="A13" s="38" t="s">
        <v>217</v>
      </c>
      <c r="B13" s="81">
        <v>231</v>
      </c>
      <c r="C13" s="81" t="s">
        <v>234</v>
      </c>
      <c r="D13" s="146">
        <v>28736</v>
      </c>
      <c r="E13" s="81" t="s">
        <v>214</v>
      </c>
      <c r="F13" s="61">
        <f>IF(ISNA(VLOOKUP($A13,'2 Bridges Relay'!$F$2:$F$67,1,FALSE)),0,VLOOKUP($A13,'2 Bridges Relay'!$F$2:$J$67,5,FALSE))</f>
        <v>0</v>
      </c>
      <c r="G13" s="88">
        <f>IF(ISNA(VLOOKUP($A13,'5M''s'!$D$2:$E$27,1,FALSE)),0,VLOOKUP($A13,'5M''s'!$D$2:$E$27,2,FALSE))</f>
        <v>0</v>
      </c>
      <c r="H13" s="62">
        <f>IF(ISNA(VLOOKUP($A13,'Mile handicap'!$C$2:$C$51,1,FALSE)),0,VLOOKUP($A13,'Mile handicap'!$C$2:$K$51,9,FALSE))</f>
        <v>82.93</v>
      </c>
      <c r="I13" s="62">
        <f>IF(ISNA(VLOOKUP($A13,'5000m handicap'!$C$2:$C$46,1,FALSE)),0,VLOOKUP($A13,'5000m handicap'!$C$2:$K$46,9,FALSE))</f>
        <v>0</v>
      </c>
      <c r="J13" s="62">
        <f>IF(ISNA(VLOOKUP($A13,'KL handicap'!$C$2:$C$37,1,FALSE)),0,VLOOKUP($A13,'KL handicap'!$C$2:$I$37,7,FALSE))</f>
        <v>0</v>
      </c>
      <c r="K13" s="62">
        <f>IF(ISNA(VLOOKUP($A13,'3000m handicap'!$C$2:$C$47,1,FALSE)),0,VLOOKUP($A13,'3000m handicap'!$C$2:$K$47,9,FALSE))</f>
        <v>0</v>
      </c>
      <c r="L13" s="62">
        <f>IF(ISNA(VLOOKUP($A13,'10 km'!$B$2:$B$50,1,FALSE)),0,VLOOKUP($A13,'10 km'!$B$2:$D$50,3,FALSE))</f>
        <v>0</v>
      </c>
      <c r="M13" s="62">
        <f>IF(ISNA(VLOOKUP($A13,'Peter Moor 2000m'!$C$2:$C$30,1,FALSE)),0,VLOOKUP($A13,'Peter Moor 2000m'!$C$2:$I$30,7,FALSE))</f>
        <v>0</v>
      </c>
      <c r="N13" s="62">
        <f>IF(ISNA(VLOOKUP($A13,'Max Howard Tan handicap'!$C$2:$C$21,1,FALSE)),0,VLOOKUP($A13,'Max Howard Tan handicap'!$C$2:$I$21,7,FALSE))</f>
        <v>0</v>
      </c>
      <c r="O13" s="88">
        <f>IF(ISNA(VLOOKUP($A13,parkrun!$B$2:$H$145,1,FALSE)),0,VLOOKUP($A13,parkrun!$B$2:$H$145,7,FALSE))</f>
        <v>88.19</v>
      </c>
      <c r="P13" s="133">
        <f t="shared" si="0"/>
        <v>171.12</v>
      </c>
      <c r="Q13" s="134">
        <f t="shared" si="1"/>
        <v>2</v>
      </c>
      <c r="R13" s="64">
        <f t="shared" si="2"/>
        <v>0</v>
      </c>
      <c r="S13" s="64">
        <f t="shared" si="3"/>
        <v>171.12</v>
      </c>
      <c r="T13" s="25">
        <f t="shared" si="4"/>
        <v>9</v>
      </c>
      <c r="U13" s="26">
        <f t="shared" si="5"/>
        <v>9</v>
      </c>
      <c r="W13" s="113">
        <v>29937</v>
      </c>
      <c r="X13" s="58"/>
      <c r="Y13" s="184">
        <v>2</v>
      </c>
      <c r="Z13" s="184">
        <f t="shared" si="6"/>
        <v>7</v>
      </c>
      <c r="AA13" s="185">
        <f t="shared" si="7"/>
        <v>0.38461538461538458</v>
      </c>
      <c r="AB13" s="185">
        <f t="shared" si="8"/>
        <v>0.71428571428571419</v>
      </c>
    </row>
    <row r="14" spans="1:28" x14ac:dyDescent="0.2">
      <c r="A14" s="38" t="s">
        <v>134</v>
      </c>
      <c r="B14" s="81">
        <v>163</v>
      </c>
      <c r="C14" s="81" t="s">
        <v>234</v>
      </c>
      <c r="D14" s="146">
        <v>31157</v>
      </c>
      <c r="E14" s="81" t="s">
        <v>214</v>
      </c>
      <c r="F14" s="61">
        <f>IF(ISNA(VLOOKUP($A14,'2 Bridges Relay'!$F$2:$F$67,1,FALSE)),0,VLOOKUP($A14,'2 Bridges Relay'!$F$2:$J$67,5,FALSE))</f>
        <v>0</v>
      </c>
      <c r="G14" s="88">
        <f>IF(ISNA(VLOOKUP($A14,'5M''s'!$D$2:$E$27,1,FALSE)),0,VLOOKUP($A14,'5M''s'!$D$2:$E$27,2,FALSE))</f>
        <v>0</v>
      </c>
      <c r="H14" s="218">
        <f>IF(ISNA(VLOOKUP($A14,'Mile handicap'!$C$2:$C$51,1,FALSE)),0,VLOOKUP($A14,'Mile handicap'!$C$2:$K$51,9,FALSE))</f>
        <v>60.98</v>
      </c>
      <c r="I14" s="62">
        <f>IF(ISNA(VLOOKUP($A14,'5000m handicap'!$C$2:$C$46,1,FALSE)),0,VLOOKUP($A14,'5000m handicap'!$C$2:$K$46,9,FALSE))</f>
        <v>0</v>
      </c>
      <c r="J14" s="62">
        <f>IF(ISNA(VLOOKUP($A14,'KL handicap'!$C$2:$C$37,1,FALSE)),0,VLOOKUP($A14,'KL handicap'!$C$2:$I$37,7,FALSE))</f>
        <v>0</v>
      </c>
      <c r="K14" s="88">
        <f>IF(ISNA(VLOOKUP($A14,'3000m handicap'!$C$2:$C$47,1,FALSE)),0,VLOOKUP($A14,'3000m handicap'!$C$2:$K$47,9,FALSE))</f>
        <v>8.33</v>
      </c>
      <c r="L14" s="62">
        <f>IF(ISNA(VLOOKUP($A14,'10 km'!$B$2:$B$50,1,FALSE)),0,VLOOKUP($A14,'10 km'!$B$2:$D$50,3,FALSE))</f>
        <v>24.49</v>
      </c>
      <c r="M14" s="62">
        <f>IF(ISNA(VLOOKUP($A14,'Peter Moor 2000m'!$C$2:$C$30,1,FALSE)),0,VLOOKUP($A14,'Peter Moor 2000m'!$C$2:$I$30,7,FALSE))</f>
        <v>0</v>
      </c>
      <c r="N14" s="62">
        <f>IF(ISNA(VLOOKUP($A14,'Max Howard Tan handicap'!$C$2:$C$21,1,FALSE)),0,VLOOKUP($A14,'Max Howard Tan handicap'!$C$2:$I$21,7,FALSE))</f>
        <v>18.75</v>
      </c>
      <c r="O14" s="88">
        <f>IF(ISNA(VLOOKUP($A14,parkrun!$B$2:$H$145,1,FALSE)),0,VLOOKUP($A14,parkrun!$B$2:$H$145,7,FALSE))</f>
        <v>38.19</v>
      </c>
      <c r="P14" s="133">
        <f t="shared" si="0"/>
        <v>150.74</v>
      </c>
      <c r="Q14" s="134">
        <f t="shared" si="1"/>
        <v>5</v>
      </c>
      <c r="R14" s="64">
        <f t="shared" si="2"/>
        <v>0</v>
      </c>
      <c r="S14" s="64">
        <f t="shared" si="3"/>
        <v>150.74</v>
      </c>
      <c r="T14" s="25">
        <f t="shared" si="4"/>
        <v>10</v>
      </c>
      <c r="U14" s="26">
        <f t="shared" si="5"/>
        <v>10</v>
      </c>
      <c r="V14" s="183"/>
      <c r="W14" s="113">
        <v>28643</v>
      </c>
      <c r="X14" s="58"/>
      <c r="Y14" s="184">
        <v>1</v>
      </c>
      <c r="Z14" s="184">
        <f t="shared" si="6"/>
        <v>8</v>
      </c>
      <c r="AA14" s="185">
        <f t="shared" si="7"/>
        <v>0.53846153846153844</v>
      </c>
      <c r="AB14" s="185">
        <f t="shared" si="8"/>
        <v>0.99999999999999989</v>
      </c>
    </row>
    <row r="15" spans="1:28" x14ac:dyDescent="0.2">
      <c r="A15" s="38" t="s">
        <v>256</v>
      </c>
      <c r="B15" s="81">
        <v>245</v>
      </c>
      <c r="C15" s="81" t="s">
        <v>234</v>
      </c>
      <c r="D15" s="146">
        <v>31448</v>
      </c>
      <c r="E15" s="81" t="s">
        <v>214</v>
      </c>
      <c r="F15" s="61">
        <f>IF(ISNA(VLOOKUP($A15,'2 Bridges Relay'!$F$2:$F$67,1,FALSE)),0,VLOOKUP($A15,'2 Bridges Relay'!$F$2:$J$67,5,FALSE))</f>
        <v>0</v>
      </c>
      <c r="G15" s="88">
        <f>IF(ISNA(VLOOKUP($A15,'5M''s'!$D$2:$E$27,1,FALSE)),0,VLOOKUP($A15,'5M''s'!$D$2:$E$27,2,FALSE))</f>
        <v>0</v>
      </c>
      <c r="H15" s="62">
        <f>IF(ISNA(VLOOKUP($A15,'Mile handicap'!$C$2:$C$51,1,FALSE)),0,VLOOKUP($A15,'Mile handicap'!$C$2:$K$51,9,FALSE))</f>
        <v>0</v>
      </c>
      <c r="I15" s="62">
        <f>IF(ISNA(VLOOKUP($A15,'5000m handicap'!$C$2:$C$46,1,FALSE)),0,VLOOKUP($A15,'5000m handicap'!$C$2:$K$46,9,FALSE))</f>
        <v>10.53</v>
      </c>
      <c r="J15" s="62">
        <f>IF(ISNA(VLOOKUP($A15,'KL handicap'!$C$2:$C$37,1,FALSE)),0,VLOOKUP($A15,'KL handicap'!$C$2:$I$37,7,FALSE))</f>
        <v>53.57</v>
      </c>
      <c r="K15" s="62">
        <f>IF(ISNA(VLOOKUP($A15,'3000m handicap'!$C$2:$C$47,1,FALSE)),0,VLOOKUP($A15,'3000m handicap'!$C$2:$K$47,9,FALSE))</f>
        <v>13.89</v>
      </c>
      <c r="L15" s="62">
        <f>IF(ISNA(VLOOKUP($A15,'10 km'!$B$2:$B$50,1,FALSE)),0,VLOOKUP($A15,'10 km'!$B$2:$D$50,3,FALSE))</f>
        <v>10.199999999999999</v>
      </c>
      <c r="M15" s="62">
        <f>IF(ISNA(VLOOKUP($A15,'Peter Moor 2000m'!$C$2:$C$30,1,FALSE)),0,VLOOKUP($A15,'Peter Moor 2000m'!$C$2:$I$30,7,FALSE))</f>
        <v>0</v>
      </c>
      <c r="N15" s="62">
        <f>IF(ISNA(VLOOKUP($A15,'Max Howard Tan handicap'!$C$2:$C$21,1,FALSE)),0,VLOOKUP($A15,'Max Howard Tan handicap'!$C$2:$I$21,7,FALSE))</f>
        <v>62.5</v>
      </c>
      <c r="O15" s="88">
        <f>IF(ISNA(VLOOKUP($A15,parkrun!$B$2:$H$145,1,FALSE)),0,VLOOKUP($A15,parkrun!$B$2:$H$145,7,FALSE))</f>
        <v>0</v>
      </c>
      <c r="P15" s="133">
        <f t="shared" si="0"/>
        <v>150.69</v>
      </c>
      <c r="Q15" s="134">
        <f t="shared" si="1"/>
        <v>5</v>
      </c>
      <c r="R15" s="64">
        <f t="shared" si="2"/>
        <v>0</v>
      </c>
      <c r="S15" s="64">
        <f t="shared" si="3"/>
        <v>150.69</v>
      </c>
      <c r="T15" s="25">
        <f t="shared" si="4"/>
        <v>11</v>
      </c>
      <c r="U15" s="26">
        <f t="shared" si="5"/>
        <v>11</v>
      </c>
      <c r="W15" s="113">
        <v>25831</v>
      </c>
      <c r="X15" s="58"/>
      <c r="Y15" s="126">
        <v>0</v>
      </c>
      <c r="Z15" s="126">
        <f t="shared" si="6"/>
        <v>24</v>
      </c>
      <c r="AA15" s="127">
        <f t="shared" si="7"/>
        <v>1</v>
      </c>
    </row>
    <row r="16" spans="1:28" x14ac:dyDescent="0.2">
      <c r="A16" s="38" t="s">
        <v>263</v>
      </c>
      <c r="B16" s="81">
        <v>248</v>
      </c>
      <c r="C16" s="81" t="s">
        <v>234</v>
      </c>
      <c r="D16" s="146">
        <v>30824</v>
      </c>
      <c r="E16" s="81" t="s">
        <v>214</v>
      </c>
      <c r="F16" s="61">
        <f>IF(ISNA(VLOOKUP($A16,'2 Bridges Relay'!$F$2:$F$67,1,FALSE)),0,VLOOKUP($A16,'2 Bridges Relay'!$F$2:$J$67,5,FALSE))</f>
        <v>73.33</v>
      </c>
      <c r="G16" s="88">
        <f>IF(ISNA(VLOOKUP($A16,'5M''s'!$D$2:$E$27,1,FALSE)),0,VLOOKUP($A16,'5M''s'!$D$2:$E$27,2,FALSE))</f>
        <v>0</v>
      </c>
      <c r="H16" s="62">
        <f>IF(ISNA(VLOOKUP($A16,'Mile handicap'!$C$2:$C$51,1,FALSE)),0,VLOOKUP($A16,'Mile handicap'!$C$2:$K$51,9,FALSE))</f>
        <v>0</v>
      </c>
      <c r="I16" s="62">
        <f>IF(ISNA(VLOOKUP($A16,'5000m handicap'!$C$2:$C$46,1,FALSE)),0,VLOOKUP($A16,'5000m handicap'!$C$2:$K$46,9,FALSE))</f>
        <v>0</v>
      </c>
      <c r="J16" s="62">
        <f>IF(ISNA(VLOOKUP($A16,'KL handicap'!$C$2:$C$37,1,FALSE)),0,VLOOKUP($A16,'KL handicap'!$C$2:$I$37,7,FALSE))</f>
        <v>0</v>
      </c>
      <c r="K16" s="62">
        <f>IF(ISNA(VLOOKUP($A16,'3000m handicap'!$C$2:$C$47,1,FALSE)),0,VLOOKUP($A16,'3000m handicap'!$C$2:$K$47,9,FALSE))</f>
        <v>0</v>
      </c>
      <c r="L16" s="62">
        <f>IF(ISNA(VLOOKUP($A16,'10 km'!$B$2:$B$50,1,FALSE)),0,VLOOKUP($A16,'10 km'!$B$2:$D$50,3,FALSE))</f>
        <v>0</v>
      </c>
      <c r="M16" s="223">
        <f>IF(ISNA(VLOOKUP($A16,'Peter Moor 2000m'!$C$2:$C$30,1,FALSE)),0,VLOOKUP($A16,'Peter Moor 2000m'!$C$2:$I$30,7,FALSE))</f>
        <v>63.64</v>
      </c>
      <c r="N16" s="62">
        <f>IF(ISNA(VLOOKUP($A16,'Max Howard Tan handicap'!$C$2:$C$21,1,FALSE)),0,VLOOKUP($A16,'Max Howard Tan handicap'!$C$2:$I$21,7,FALSE))</f>
        <v>0</v>
      </c>
      <c r="O16" s="88">
        <f>IF(ISNA(VLOOKUP($A16,parkrun!$B$2:$H$145,1,FALSE)),0,VLOOKUP($A16,parkrun!$B$2:$H$145,7,FALSE))</f>
        <v>8.33</v>
      </c>
      <c r="P16" s="133">
        <f t="shared" si="0"/>
        <v>145.30000000000001</v>
      </c>
      <c r="Q16" s="134">
        <f t="shared" si="1"/>
        <v>3</v>
      </c>
      <c r="R16" s="64">
        <f t="shared" si="2"/>
        <v>0</v>
      </c>
      <c r="S16" s="64">
        <f t="shared" si="3"/>
        <v>145.30000000000001</v>
      </c>
      <c r="T16" s="25">
        <f t="shared" si="4"/>
        <v>12</v>
      </c>
      <c r="U16" s="26">
        <f t="shared" si="5"/>
        <v>12</v>
      </c>
      <c r="W16" s="113">
        <v>27296</v>
      </c>
      <c r="X16" s="58"/>
      <c r="Y16" s="126"/>
      <c r="Z16" s="126">
        <f>SUM(Z5:Z15)</f>
        <v>52</v>
      </c>
      <c r="AA16" s="128"/>
    </row>
    <row r="17" spans="1:25" x14ac:dyDescent="0.2">
      <c r="A17" s="38" t="s">
        <v>290</v>
      </c>
      <c r="B17" s="81">
        <v>261</v>
      </c>
      <c r="C17" s="81" t="s">
        <v>234</v>
      </c>
      <c r="D17" s="146">
        <v>29312</v>
      </c>
      <c r="E17" s="81" t="s">
        <v>214</v>
      </c>
      <c r="F17" s="61">
        <f>IF(ISNA(VLOOKUP($A17,'2 Bridges Relay'!$F$2:$F$67,1,FALSE)),0,VLOOKUP($A17,'2 Bridges Relay'!$F$2:$J$67,5,FALSE))</f>
        <v>0</v>
      </c>
      <c r="G17" s="88">
        <f>IF(ISNA(VLOOKUP($A17,'5M''s'!$D$2:$E$27,1,FALSE)),0,VLOOKUP($A17,'5M''s'!$D$2:$E$27,2,FALSE))</f>
        <v>0</v>
      </c>
      <c r="H17" s="62">
        <f>IF(ISNA(VLOOKUP($A17,'Mile handicap'!$C$2:$C$51,1,FALSE)),0,VLOOKUP($A17,'Mile handicap'!$C$2:$K$51,9,FALSE))</f>
        <v>0</v>
      </c>
      <c r="I17" s="62">
        <f>IF(ISNA(VLOOKUP($A17,'5000m handicap'!$C$2:$C$46,1,FALSE)),0,VLOOKUP($A17,'5000m handicap'!$C$2:$K$46,9,FALSE))</f>
        <v>0</v>
      </c>
      <c r="J17" s="62">
        <f>IF(ISNA(VLOOKUP($A17,'KL handicap'!$C$2:$C$37,1,FALSE)),0,VLOOKUP($A17,'KL handicap'!$C$2:$I$37,7,FALSE))</f>
        <v>0</v>
      </c>
      <c r="K17" s="62">
        <f>IF(ISNA(VLOOKUP($A17,'3000m handicap'!$C$2:$C$47,1,FALSE)),0,VLOOKUP($A17,'3000m handicap'!$C$2:$K$47,9,FALSE))</f>
        <v>0</v>
      </c>
      <c r="L17" s="62">
        <f>IF(ISNA(VLOOKUP($A17,'10 km'!$B$2:$B$50,1,FALSE)),0,VLOOKUP($A17,'10 km'!$B$2:$D$50,3,FALSE))</f>
        <v>48.98</v>
      </c>
      <c r="M17" s="62">
        <f>IF(ISNA(VLOOKUP($A17,'Peter Moor 2000m'!$C$2:$C$30,1,FALSE)),0,VLOOKUP($A17,'Peter Moor 2000m'!$C$2:$I$30,7,FALSE))</f>
        <v>0</v>
      </c>
      <c r="N17" s="62">
        <f>IF(ISNA(VLOOKUP($A17,'Max Howard Tan handicap'!$C$2:$C$21,1,FALSE)),0,VLOOKUP($A17,'Max Howard Tan handicap'!$C$2:$I$21,7,FALSE))</f>
        <v>0</v>
      </c>
      <c r="O17" s="88">
        <f>IF(ISNA(VLOOKUP($A17,parkrun!$B$2:$H$145,1,FALSE)),0,VLOOKUP($A17,parkrun!$B$2:$H$145,7,FALSE))</f>
        <v>86.81</v>
      </c>
      <c r="P17" s="133">
        <f t="shared" si="0"/>
        <v>135.79</v>
      </c>
      <c r="Q17" s="134">
        <f t="shared" si="1"/>
        <v>2</v>
      </c>
      <c r="R17" s="64">
        <f t="shared" si="2"/>
        <v>0</v>
      </c>
      <c r="S17" s="64">
        <f t="shared" si="3"/>
        <v>135.79</v>
      </c>
      <c r="T17" s="25">
        <f t="shared" si="4"/>
        <v>13</v>
      </c>
      <c r="U17" s="26">
        <f t="shared" si="5"/>
        <v>13</v>
      </c>
      <c r="W17" s="113">
        <v>25675</v>
      </c>
      <c r="X17" s="58"/>
      <c r="Y17" s="126"/>
    </row>
    <row r="18" spans="1:25" x14ac:dyDescent="0.2">
      <c r="A18" s="38" t="s">
        <v>226</v>
      </c>
      <c r="B18" s="81">
        <v>230</v>
      </c>
      <c r="C18" s="81" t="s">
        <v>234</v>
      </c>
      <c r="D18" s="146">
        <v>28672</v>
      </c>
      <c r="E18" s="81" t="s">
        <v>214</v>
      </c>
      <c r="F18" s="61">
        <f>IF(ISNA(VLOOKUP($A18,'2 Bridges Relay'!$F$2:$F$67,1,FALSE)),0,VLOOKUP($A18,'2 Bridges Relay'!$F$2:$J$67,5,FALSE))</f>
        <v>0</v>
      </c>
      <c r="G18" s="88">
        <f>IF(ISNA(VLOOKUP($A18,'5M''s'!$D$2:$E$27,1,FALSE)),0,VLOOKUP($A18,'5M''s'!$D$2:$E$27,2,FALSE))</f>
        <v>0</v>
      </c>
      <c r="H18" s="62">
        <f>IF(ISNA(VLOOKUP($A18,'Mile handicap'!$C$2:$C$51,1,FALSE)),0,VLOOKUP($A18,'Mile handicap'!$C$2:$K$51,9,FALSE))</f>
        <v>0</v>
      </c>
      <c r="I18" s="62">
        <f>IF(ISNA(VLOOKUP($A18,'5000m handicap'!$C$2:$C$46,1,FALSE)),0,VLOOKUP($A18,'5000m handicap'!$C$2:$K$46,9,FALSE))</f>
        <v>0</v>
      </c>
      <c r="J18" s="62">
        <f>IF(ISNA(VLOOKUP($A18,'KL handicap'!$C$2:$C$37,1,FALSE)),0,VLOOKUP($A18,'KL handicap'!$C$2:$I$37,7,FALSE))</f>
        <v>0</v>
      </c>
      <c r="K18" s="62">
        <f>IF(ISNA(VLOOKUP($A18,'3000m handicap'!$C$2:$C$47,1,FALSE)),0,VLOOKUP($A18,'3000m handicap'!$C$2:$K$47,9,FALSE))</f>
        <v>0</v>
      </c>
      <c r="L18" s="62">
        <f>IF(ISNA(VLOOKUP($A18,'10 km'!$B$2:$B$50,1,FALSE)),0,VLOOKUP($A18,'10 km'!$B$2:$D$50,3,FALSE))</f>
        <v>36.729999999999997</v>
      </c>
      <c r="M18" s="62">
        <f>IF(ISNA(VLOOKUP($A18,'Peter Moor 2000m'!$C$2:$C$30,1,FALSE)),0,VLOOKUP($A18,'Peter Moor 2000m'!$C$2:$I$30,7,FALSE))</f>
        <v>0</v>
      </c>
      <c r="N18" s="62">
        <f>IF(ISNA(VLOOKUP($A18,'Max Howard Tan handicap'!$C$2:$C$21,1,FALSE)),0,VLOOKUP($A18,'Max Howard Tan handicap'!$C$2:$I$21,7,FALSE))</f>
        <v>0</v>
      </c>
      <c r="O18" s="88">
        <f>IF(ISNA(VLOOKUP($A18,parkrun!$B$2:$H$145,1,FALSE)),0,VLOOKUP($A18,parkrun!$B$2:$H$145,7,FALSE))</f>
        <v>91.67</v>
      </c>
      <c r="P18" s="133">
        <f t="shared" si="0"/>
        <v>128.4</v>
      </c>
      <c r="Q18" s="134">
        <f t="shared" si="1"/>
        <v>2</v>
      </c>
      <c r="R18" s="64">
        <f t="shared" si="2"/>
        <v>0</v>
      </c>
      <c r="S18" s="64">
        <f t="shared" si="3"/>
        <v>128.4</v>
      </c>
      <c r="T18" s="25">
        <f t="shared" si="4"/>
        <v>14</v>
      </c>
      <c r="U18" s="26">
        <f t="shared" si="5"/>
        <v>14</v>
      </c>
      <c r="W18" s="113">
        <v>27654</v>
      </c>
      <c r="X18" s="58"/>
      <c r="Y18" s="126"/>
    </row>
    <row r="19" spans="1:25" x14ac:dyDescent="0.2">
      <c r="A19" s="38" t="s">
        <v>159</v>
      </c>
      <c r="B19" s="81">
        <v>173</v>
      </c>
      <c r="C19" s="81" t="s">
        <v>234</v>
      </c>
      <c r="D19" s="146">
        <v>28723</v>
      </c>
      <c r="E19" s="81" t="s">
        <v>214</v>
      </c>
      <c r="F19" s="61">
        <f>IF(ISNA(VLOOKUP($A19,'2 Bridges Relay'!$F$2:$F$67,1,FALSE)),0,VLOOKUP($A19,'2 Bridges Relay'!$F$2:$J$67,5,FALSE))</f>
        <v>0</v>
      </c>
      <c r="G19" s="88">
        <f>IF(ISNA(VLOOKUP($A19,'5M''s'!$D$2:$E$27,1,FALSE)),0,VLOOKUP($A19,'5M''s'!$D$2:$E$27,2,FALSE))</f>
        <v>0</v>
      </c>
      <c r="H19" s="62">
        <f>IF(ISNA(VLOOKUP($A19,'Mile handicap'!$C$2:$C$51,1,FALSE)),0,VLOOKUP($A19,'Mile handicap'!$C$2:$K$51,9,FALSE))</f>
        <v>0</v>
      </c>
      <c r="I19" s="62">
        <f>IF(ISNA(VLOOKUP($A19,'5000m handicap'!$C$2:$C$46,1,FALSE)),0,VLOOKUP($A19,'5000m handicap'!$C$2:$K$46,9,FALSE))</f>
        <v>0</v>
      </c>
      <c r="J19" s="62">
        <f>IF(ISNA(VLOOKUP($A19,'KL handicap'!$C$2:$C$37,1,FALSE)),0,VLOOKUP($A19,'KL handicap'!$C$2:$I$37,7,FALSE))</f>
        <v>0</v>
      </c>
      <c r="K19" s="62">
        <f>IF(ISNA(VLOOKUP($A19,'3000m handicap'!$C$2:$C$47,1,FALSE)),0,VLOOKUP($A19,'3000m handicap'!$C$2:$K$47,9,FALSE))</f>
        <v>0</v>
      </c>
      <c r="L19" s="62">
        <f>IF(ISNA(VLOOKUP($A19,'10 km'!$B$2:$B$50,1,FALSE)),0,VLOOKUP($A19,'10 km'!$B$2:$D$50,3,FALSE))</f>
        <v>40.82</v>
      </c>
      <c r="M19" s="62">
        <f>IF(ISNA(VLOOKUP($A19,'Peter Moor 2000m'!$C$2:$C$30,1,FALSE)),0,VLOOKUP($A19,'Peter Moor 2000m'!$C$2:$I$30,7,FALSE))</f>
        <v>0</v>
      </c>
      <c r="N19" s="62">
        <f>IF(ISNA(VLOOKUP($A19,'Max Howard Tan handicap'!$C$2:$C$21,1,FALSE)),0,VLOOKUP($A19,'Max Howard Tan handicap'!$C$2:$I$21,7,FALSE))</f>
        <v>0</v>
      </c>
      <c r="O19" s="88">
        <f>IF(ISNA(VLOOKUP($A19,parkrun!$B$2:$H$145,1,FALSE)),0,VLOOKUP($A19,parkrun!$B$2:$H$145,7,FALSE))</f>
        <v>80.56</v>
      </c>
      <c r="P19" s="133">
        <f t="shared" si="0"/>
        <v>121.38</v>
      </c>
      <c r="Q19" s="134">
        <f t="shared" si="1"/>
        <v>2</v>
      </c>
      <c r="R19" s="64">
        <f t="shared" si="2"/>
        <v>0</v>
      </c>
      <c r="S19" s="64">
        <f t="shared" si="3"/>
        <v>121.38</v>
      </c>
      <c r="T19" s="25">
        <f t="shared" si="4"/>
        <v>15</v>
      </c>
      <c r="U19" s="26">
        <f t="shared" si="5"/>
        <v>15</v>
      </c>
      <c r="W19" s="113">
        <v>26478</v>
      </c>
      <c r="X19" s="58"/>
      <c r="Y19" s="126"/>
    </row>
    <row r="20" spans="1:25" x14ac:dyDescent="0.2">
      <c r="A20" s="38" t="s">
        <v>33</v>
      </c>
      <c r="B20" s="81">
        <v>123</v>
      </c>
      <c r="C20" s="81" t="s">
        <v>234</v>
      </c>
      <c r="D20" s="146">
        <v>28967</v>
      </c>
      <c r="E20" s="81" t="s">
        <v>214</v>
      </c>
      <c r="F20" s="61">
        <f>IF(ISNA(VLOOKUP($A20,'2 Bridges Relay'!$F$2:$F$67,1,FALSE)),0,VLOOKUP($A20,'2 Bridges Relay'!$F$2:$J$67,5,FALSE))</f>
        <v>0</v>
      </c>
      <c r="G20" s="88">
        <f>IF(ISNA(VLOOKUP($A20,'5M''s'!$D$2:$E$27,1,FALSE)),0,VLOOKUP($A20,'5M''s'!$D$2:$E$27,2,FALSE))</f>
        <v>0</v>
      </c>
      <c r="H20" s="62">
        <f>IF(ISNA(VLOOKUP($A20,'Mile handicap'!$C$2:$C$51,1,FALSE)),0,VLOOKUP($A20,'Mile handicap'!$C$2:$K$51,9,FALSE))</f>
        <v>0</v>
      </c>
      <c r="I20" s="62">
        <f>IF(ISNA(VLOOKUP($A20,'5000m handicap'!$C$2:$C$46,1,FALSE)),0,VLOOKUP($A20,'5000m handicap'!$C$2:$K$46,9,FALSE))</f>
        <v>0</v>
      </c>
      <c r="J20" s="62">
        <f>IF(ISNA(VLOOKUP($A20,'KL handicap'!$C$2:$C$37,1,FALSE)),0,VLOOKUP($A20,'KL handicap'!$C$2:$I$37,7,FALSE))</f>
        <v>0</v>
      </c>
      <c r="K20" s="62">
        <f>IF(ISNA(VLOOKUP($A20,'3000m handicap'!$C$2:$C$47,1,FALSE)),0,VLOOKUP($A20,'3000m handicap'!$C$2:$K$47,9,FALSE))</f>
        <v>0</v>
      </c>
      <c r="L20" s="62">
        <f>IF(ISNA(VLOOKUP($A20,'10 km'!$B$2:$B$50,1,FALSE)),0,VLOOKUP($A20,'10 km'!$B$2:$D$50,3,FALSE))</f>
        <v>0</v>
      </c>
      <c r="M20" s="62">
        <f>IF(ISNA(VLOOKUP($A20,'Peter Moor 2000m'!$C$2:$C$30,1,FALSE)),0,VLOOKUP($A20,'Peter Moor 2000m'!$C$2:$I$30,7,FALSE))</f>
        <v>95.45</v>
      </c>
      <c r="N20" s="62">
        <f>IF(ISNA(VLOOKUP($A20,'Max Howard Tan handicap'!$C$2:$C$21,1,FALSE)),0,VLOOKUP($A20,'Max Howard Tan handicap'!$C$2:$I$21,7,FALSE))</f>
        <v>0</v>
      </c>
      <c r="O20" s="88">
        <f>IF(ISNA(VLOOKUP($A20,parkrun!$B$2:$H$145,1,FALSE)),0,VLOOKUP($A20,parkrun!$B$2:$H$145,7,FALSE))</f>
        <v>19.440000000000001</v>
      </c>
      <c r="P20" s="133">
        <f t="shared" si="0"/>
        <v>114.89</v>
      </c>
      <c r="Q20" s="134">
        <f t="shared" si="1"/>
        <v>2</v>
      </c>
      <c r="R20" s="64">
        <f t="shared" si="2"/>
        <v>0</v>
      </c>
      <c r="S20" s="64">
        <f t="shared" si="3"/>
        <v>114.89</v>
      </c>
      <c r="T20" s="25">
        <f t="shared" si="4"/>
        <v>16</v>
      </c>
      <c r="U20" s="26">
        <f t="shared" si="5"/>
        <v>16</v>
      </c>
      <c r="W20" s="113">
        <v>27386</v>
      </c>
      <c r="X20" s="58"/>
      <c r="Y20" s="126"/>
    </row>
    <row r="21" spans="1:25" x14ac:dyDescent="0.2">
      <c r="A21" s="38" t="s">
        <v>337</v>
      </c>
      <c r="B21" s="81">
        <v>286</v>
      </c>
      <c r="C21" s="81" t="s">
        <v>234</v>
      </c>
      <c r="D21" s="146">
        <v>23628</v>
      </c>
      <c r="E21" s="81" t="s">
        <v>196</v>
      </c>
      <c r="F21" s="61">
        <f>IF(ISNA(VLOOKUP($A21,'2 Bridges Relay'!$F$2:$F$67,1,FALSE)),0,VLOOKUP($A21,'2 Bridges Relay'!$F$2:$J$67,5,FALSE))</f>
        <v>56.67</v>
      </c>
      <c r="G21" s="88">
        <f>IF(ISNA(VLOOKUP($A21,'5M''s'!$D$2:$E$27,1,FALSE)),0,VLOOKUP($A21,'5M''s'!$D$2:$E$27,2,FALSE))</f>
        <v>0</v>
      </c>
      <c r="H21" s="62">
        <f>IF(ISNA(VLOOKUP($A21,'Mile handicap'!$C$2:$C$51,1,FALSE)),0,VLOOKUP($A21,'Mile handicap'!$C$2:$K$51,9,FALSE))</f>
        <v>0</v>
      </c>
      <c r="I21" s="62">
        <f>IF(ISNA(VLOOKUP($A21,'5000m handicap'!$C$2:$C$46,1,FALSE)),0,VLOOKUP($A21,'5000m handicap'!$C$2:$K$46,9,FALSE))</f>
        <v>0</v>
      </c>
      <c r="J21" s="62">
        <f>IF(ISNA(VLOOKUP($A21,'KL handicap'!$C$2:$C$37,1,FALSE)),0,VLOOKUP($A21,'KL handicap'!$C$2:$I$37,7,FALSE))</f>
        <v>0</v>
      </c>
      <c r="K21" s="62">
        <f>IF(ISNA(VLOOKUP($A21,'3000m handicap'!$C$2:$C$47,1,FALSE)),0,VLOOKUP($A21,'3000m handicap'!$C$2:$K$47,9,FALSE))</f>
        <v>0</v>
      </c>
      <c r="L21" s="62">
        <f>IF(ISNA(VLOOKUP($A21,'10 km'!$B$2:$B$50,1,FALSE)),0,VLOOKUP($A21,'10 km'!$B$2:$D$50,3,FALSE))</f>
        <v>0</v>
      </c>
      <c r="M21" s="62">
        <f>IF(ISNA(VLOOKUP($A21,'Peter Moor 2000m'!$C$2:$C$30,1,FALSE)),0,VLOOKUP($A21,'Peter Moor 2000m'!$C$2:$I$30,7,FALSE))</f>
        <v>0</v>
      </c>
      <c r="N21" s="62">
        <f>IF(ISNA(VLOOKUP($A21,'Max Howard Tan handicap'!$C$2:$C$21,1,FALSE)),0,VLOOKUP($A21,'Max Howard Tan handicap'!$C$2:$I$21,7,FALSE))</f>
        <v>0</v>
      </c>
      <c r="O21" s="88">
        <f>IF(ISNA(VLOOKUP($A21,parkrun!$B$2:$H$145,1,FALSE)),0,VLOOKUP($A21,parkrun!$B$2:$H$145,7,FALSE))</f>
        <v>55.56</v>
      </c>
      <c r="P21" s="133">
        <f t="shared" si="0"/>
        <v>112.23</v>
      </c>
      <c r="Q21" s="134">
        <f t="shared" si="1"/>
        <v>2</v>
      </c>
      <c r="R21" s="64">
        <f t="shared" si="2"/>
        <v>0</v>
      </c>
      <c r="S21" s="64">
        <f t="shared" si="3"/>
        <v>112.23</v>
      </c>
      <c r="T21" s="25">
        <f t="shared" si="4"/>
        <v>17</v>
      </c>
      <c r="U21" s="26">
        <f t="shared" si="5"/>
        <v>17</v>
      </c>
      <c r="W21" s="113">
        <v>27347</v>
      </c>
      <c r="X21" s="58"/>
      <c r="Y21" s="44"/>
    </row>
    <row r="22" spans="1:25" x14ac:dyDescent="0.2">
      <c r="A22" s="38" t="s">
        <v>335</v>
      </c>
      <c r="B22" s="81">
        <v>288</v>
      </c>
      <c r="C22" s="81" t="s">
        <v>234</v>
      </c>
      <c r="D22" s="146">
        <v>27406</v>
      </c>
      <c r="E22" s="81" t="s">
        <v>214</v>
      </c>
      <c r="F22" s="61">
        <f>IF(ISNA(VLOOKUP($A22,'2 Bridges Relay'!$F$2:$F$67,1,FALSE)),0,VLOOKUP($A22,'2 Bridges Relay'!$F$2:$J$67,5,FALSE))</f>
        <v>60</v>
      </c>
      <c r="G22" s="88">
        <f>IF(ISNA(VLOOKUP($A22,'5M''s'!$D$2:$E$27,1,FALSE)),0,VLOOKUP($A22,'5M''s'!$D$2:$E$27,2,FALSE))</f>
        <v>0</v>
      </c>
      <c r="H22" s="62">
        <f>IF(ISNA(VLOOKUP($A22,'Mile handicap'!$C$2:$C$51,1,FALSE)),0,VLOOKUP($A22,'Mile handicap'!$C$2:$K$51,9,FALSE))</f>
        <v>0</v>
      </c>
      <c r="I22" s="62">
        <f>IF(ISNA(VLOOKUP($A22,'5000m handicap'!$C$2:$C$46,1,FALSE)),0,VLOOKUP($A22,'5000m handicap'!$C$2:$K$46,9,FALSE))</f>
        <v>0</v>
      </c>
      <c r="J22" s="62">
        <f>IF(ISNA(VLOOKUP($A22,'KL handicap'!$C$2:$C$37,1,FALSE)),0,VLOOKUP($A22,'KL handicap'!$C$2:$I$37,7,FALSE))</f>
        <v>0</v>
      </c>
      <c r="K22" s="62">
        <f>IF(ISNA(VLOOKUP($A22,'3000m handicap'!$C$2:$C$47,1,FALSE)),0,VLOOKUP($A22,'3000m handicap'!$C$2:$K$47,9,FALSE))</f>
        <v>0</v>
      </c>
      <c r="L22" s="62">
        <f>IF(ISNA(VLOOKUP($A22,'10 km'!$B$2:$B$50,1,FALSE)),0,VLOOKUP($A22,'10 km'!$B$2:$D$50,3,FALSE))</f>
        <v>6.12</v>
      </c>
      <c r="M22" s="62">
        <f>IF(ISNA(VLOOKUP($A22,'Peter Moor 2000m'!$C$2:$C$30,1,FALSE)),0,VLOOKUP($A22,'Peter Moor 2000m'!$C$2:$I$30,7,FALSE))</f>
        <v>0</v>
      </c>
      <c r="N22" s="62">
        <f>IF(ISNA(VLOOKUP($A22,'Max Howard Tan handicap'!$C$2:$C$21,1,FALSE)),0,VLOOKUP($A22,'Max Howard Tan handicap'!$C$2:$I$21,7,FALSE))</f>
        <v>0</v>
      </c>
      <c r="O22" s="88">
        <f>IF(ISNA(VLOOKUP($A22,parkrun!$B$2:$H$145,1,FALSE)),0,VLOOKUP($A22,parkrun!$B$2:$H$145,7,FALSE))</f>
        <v>37.5</v>
      </c>
      <c r="P22" s="133">
        <f t="shared" si="0"/>
        <v>103.62</v>
      </c>
      <c r="Q22" s="134">
        <f t="shared" si="1"/>
        <v>3</v>
      </c>
      <c r="R22" s="64">
        <f t="shared" si="2"/>
        <v>0</v>
      </c>
      <c r="S22" s="64">
        <f t="shared" si="3"/>
        <v>103.62</v>
      </c>
      <c r="T22" s="25">
        <f t="shared" si="4"/>
        <v>18</v>
      </c>
      <c r="U22" s="26">
        <f t="shared" si="5"/>
        <v>18</v>
      </c>
      <c r="W22" s="113">
        <v>25449</v>
      </c>
      <c r="X22" s="58"/>
      <c r="Y22" s="44"/>
    </row>
    <row r="23" spans="1:25" x14ac:dyDescent="0.2">
      <c r="A23" s="38" t="s">
        <v>170</v>
      </c>
      <c r="B23" s="81">
        <v>184</v>
      </c>
      <c r="C23" s="81" t="s">
        <v>234</v>
      </c>
      <c r="D23" s="146">
        <v>28156</v>
      </c>
      <c r="E23" s="81" t="s">
        <v>214</v>
      </c>
      <c r="F23" s="61">
        <f>IF(ISNA(VLOOKUP($A23,'2 Bridges Relay'!$F$2:$F$67,1,FALSE)),0,VLOOKUP($A23,'2 Bridges Relay'!$F$2:$J$67,5,FALSE))</f>
        <v>0</v>
      </c>
      <c r="G23" s="88">
        <f>IF(ISNA(VLOOKUP($A23,'5M''s'!$D$2:$E$27,1,FALSE)),0,VLOOKUP($A23,'5M''s'!$D$2:$E$27,2,FALSE))</f>
        <v>0</v>
      </c>
      <c r="H23" s="62">
        <f>IF(ISNA(VLOOKUP($A23,'Mile handicap'!$C$2:$C$51,1,FALSE)),0,VLOOKUP($A23,'Mile handicap'!$C$2:$K$51,9,FALSE))</f>
        <v>0</v>
      </c>
      <c r="I23" s="62">
        <f>IF(ISNA(VLOOKUP($A23,'5000m handicap'!$C$2:$C$46,1,FALSE)),0,VLOOKUP($A23,'5000m handicap'!$C$2:$K$46,9,FALSE))</f>
        <v>34.21</v>
      </c>
      <c r="J23" s="62">
        <f>IF(ISNA(VLOOKUP($A23,'KL handicap'!$C$2:$C$37,1,FALSE)),0,VLOOKUP($A23,'KL handicap'!$C$2:$I$37,7,FALSE))</f>
        <v>0</v>
      </c>
      <c r="K23" s="62">
        <f>IF(ISNA(VLOOKUP($A23,'3000m handicap'!$C$2:$C$47,1,FALSE)),0,VLOOKUP($A23,'3000m handicap'!$C$2:$K$47,9,FALSE))</f>
        <v>61.11</v>
      </c>
      <c r="L23" s="62">
        <f>IF(ISNA(VLOOKUP($A23,'10 km'!$B$2:$B$50,1,FALSE)),0,VLOOKUP($A23,'10 km'!$B$2:$D$50,3,FALSE))</f>
        <v>0</v>
      </c>
      <c r="M23" s="62">
        <f>IF(ISNA(VLOOKUP($A23,'Peter Moor 2000m'!$C$2:$C$30,1,FALSE)),0,VLOOKUP($A23,'Peter Moor 2000m'!$C$2:$I$30,7,FALSE))</f>
        <v>0</v>
      </c>
      <c r="N23" s="62">
        <f>IF(ISNA(VLOOKUP($A23,'Max Howard Tan handicap'!$C$2:$C$21,1,FALSE)),0,VLOOKUP($A23,'Max Howard Tan handicap'!$C$2:$I$21,7,FALSE))</f>
        <v>0</v>
      </c>
      <c r="O23" s="88">
        <f>IF(ISNA(VLOOKUP($A23,parkrun!$B$2:$H$145,1,FALSE)),0,VLOOKUP($A23,parkrun!$B$2:$H$145,7,FALSE))</f>
        <v>6.25</v>
      </c>
      <c r="P23" s="133">
        <f t="shared" si="0"/>
        <v>101.57</v>
      </c>
      <c r="Q23" s="134">
        <f t="shared" si="1"/>
        <v>3</v>
      </c>
      <c r="R23" s="64">
        <f t="shared" si="2"/>
        <v>0</v>
      </c>
      <c r="S23" s="64">
        <f t="shared" si="3"/>
        <v>101.57</v>
      </c>
      <c r="T23" s="25">
        <f t="shared" si="4"/>
        <v>19</v>
      </c>
      <c r="U23" s="26">
        <f t="shared" si="5"/>
        <v>19</v>
      </c>
      <c r="W23" s="113">
        <v>27614</v>
      </c>
      <c r="X23" s="58"/>
      <c r="Y23" s="44"/>
    </row>
    <row r="24" spans="1:25" x14ac:dyDescent="0.2">
      <c r="A24" s="38" t="s">
        <v>366</v>
      </c>
      <c r="B24" s="81">
        <v>285</v>
      </c>
      <c r="C24" s="81" t="s">
        <v>234</v>
      </c>
      <c r="D24" s="146">
        <v>27905</v>
      </c>
      <c r="E24" s="81" t="s">
        <v>214</v>
      </c>
      <c r="F24" s="61">
        <f>IF(ISNA(VLOOKUP($A24,'2 Bridges Relay'!$F$2:$F$67,1,FALSE)),0,VLOOKUP($A24,'2 Bridges Relay'!$F$2:$J$67,5,FALSE))</f>
        <v>0</v>
      </c>
      <c r="G24" s="88">
        <f>IF(ISNA(VLOOKUP($A24,'5M''s'!$D$2:$E$27,1,FALSE)),0,VLOOKUP($A24,'5M''s'!$D$2:$E$27,2,FALSE))</f>
        <v>0</v>
      </c>
      <c r="H24" s="62">
        <f>IF(ISNA(VLOOKUP($A24,'Mile handicap'!$C$2:$C$51,1,FALSE)),0,VLOOKUP($A24,'Mile handicap'!$C$2:$K$51,9,FALSE))</f>
        <v>0</v>
      </c>
      <c r="I24" s="62">
        <f>IF(ISNA(VLOOKUP($A24,'5000m handicap'!$C$2:$C$46,1,FALSE)),0,VLOOKUP($A24,'5000m handicap'!$C$2:$K$46,9,FALSE))</f>
        <v>0</v>
      </c>
      <c r="J24" s="62">
        <f>IF(ISNA(VLOOKUP($A24,'KL handicap'!$C$2:$C$37,1,FALSE)),0,VLOOKUP($A24,'KL handicap'!$C$2:$I$37,7,FALSE))</f>
        <v>0</v>
      </c>
      <c r="K24" s="62">
        <f>IF(ISNA(VLOOKUP($A24,'3000m handicap'!$C$2:$C$47,1,FALSE)),0,VLOOKUP($A24,'3000m handicap'!$C$2:$K$47,9,FALSE))</f>
        <v>0</v>
      </c>
      <c r="L24" s="62">
        <f>IF(ISNA(VLOOKUP($A24,'10 km'!$B$2:$B$50,1,FALSE)),0,VLOOKUP($A24,'10 km'!$B$2:$D$50,3,FALSE))</f>
        <v>0</v>
      </c>
      <c r="M24" s="62">
        <f>IF(ISNA(VLOOKUP($A24,'Peter Moor 2000m'!$C$2:$C$30,1,FALSE)),0,VLOOKUP($A24,'Peter Moor 2000m'!$C$2:$I$30,7,FALSE))</f>
        <v>0</v>
      </c>
      <c r="N24" s="62">
        <f>IF(ISNA(VLOOKUP($A24,'Max Howard Tan handicap'!$C$2:$C$21,1,FALSE)),0,VLOOKUP($A24,'Max Howard Tan handicap'!$C$2:$I$21,7,FALSE))</f>
        <v>0</v>
      </c>
      <c r="O24" s="88">
        <f>IF(ISNA(VLOOKUP($A24,parkrun!$B$2:$H$145,1,FALSE)),0,VLOOKUP($A24,parkrun!$B$2:$H$145,7,FALSE))</f>
        <v>65.97</v>
      </c>
      <c r="P24" s="133">
        <f t="shared" si="0"/>
        <v>65.97</v>
      </c>
      <c r="Q24" s="134">
        <f t="shared" si="1"/>
        <v>1</v>
      </c>
      <c r="R24" s="64">
        <f t="shared" si="2"/>
        <v>0</v>
      </c>
      <c r="S24" s="64">
        <f t="shared" si="3"/>
        <v>65.97</v>
      </c>
      <c r="T24" s="25">
        <f t="shared" si="4"/>
        <v>20</v>
      </c>
      <c r="U24" s="26">
        <f t="shared" si="5"/>
        <v>20</v>
      </c>
      <c r="W24" s="113">
        <v>30631</v>
      </c>
      <c r="X24" s="58"/>
      <c r="Y24" s="44"/>
    </row>
    <row r="25" spans="1:25" x14ac:dyDescent="0.2">
      <c r="A25" s="38" t="s">
        <v>254</v>
      </c>
      <c r="B25" s="81">
        <v>236</v>
      </c>
      <c r="C25" s="81" t="s">
        <v>234</v>
      </c>
      <c r="D25" s="146">
        <v>22265</v>
      </c>
      <c r="E25" s="81" t="s">
        <v>196</v>
      </c>
      <c r="F25" s="61">
        <f>IF(ISNA(VLOOKUP($A25,'2 Bridges Relay'!$F$2:$F$67,1,FALSE)),0,VLOOKUP($A25,'2 Bridges Relay'!$F$2:$J$67,5,FALSE))</f>
        <v>0</v>
      </c>
      <c r="G25" s="88">
        <f>IF(ISNA(VLOOKUP($A25,'5M''s'!$D$2:$E$27,1,FALSE)),0,VLOOKUP($A25,'5M''s'!$D$2:$E$27,2,FALSE))</f>
        <v>0</v>
      </c>
      <c r="H25" s="62">
        <f>IF(ISNA(VLOOKUP($A25,'Mile handicap'!$C$2:$C$51,1,FALSE)),0,VLOOKUP($A25,'Mile handicap'!$C$2:$K$51,9,FALSE))</f>
        <v>0</v>
      </c>
      <c r="I25" s="62">
        <f>IF(ISNA(VLOOKUP($A25,'5000m handicap'!$C$2:$C$46,1,FALSE)),0,VLOOKUP($A25,'5000m handicap'!$C$2:$K$46,9,FALSE))</f>
        <v>0</v>
      </c>
      <c r="J25" s="62">
        <f>IF(ISNA(VLOOKUP($A25,'KL handicap'!$C$2:$C$37,1,FALSE)),0,VLOOKUP($A25,'KL handicap'!$C$2:$I$37,7,FALSE))</f>
        <v>0</v>
      </c>
      <c r="K25" s="62">
        <f>IF(ISNA(VLOOKUP($A25,'3000m handicap'!$C$2:$C$47,1,FALSE)),0,VLOOKUP($A25,'3000m handicap'!$C$2:$K$47,9,FALSE))</f>
        <v>0</v>
      </c>
      <c r="L25" s="62">
        <f>IF(ISNA(VLOOKUP($A25,'10 km'!$B$2:$B$50,1,FALSE)),0,VLOOKUP($A25,'10 km'!$B$2:$D$50,3,FALSE))</f>
        <v>0</v>
      </c>
      <c r="M25" s="62">
        <f>IF(ISNA(VLOOKUP($A25,'Peter Moor 2000m'!$C$2:$C$30,1,FALSE)),0,VLOOKUP($A25,'Peter Moor 2000m'!$C$2:$I$30,7,FALSE))</f>
        <v>0</v>
      </c>
      <c r="N25" s="62">
        <f>IF(ISNA(VLOOKUP($A25,'Max Howard Tan handicap'!$C$2:$C$21,1,FALSE)),0,VLOOKUP($A25,'Max Howard Tan handicap'!$C$2:$I$21,7,FALSE))</f>
        <v>0</v>
      </c>
      <c r="O25" s="88">
        <f>IF(ISNA(VLOOKUP($A25,parkrun!$B$2:$H$145,1,FALSE)),0,VLOOKUP($A25,parkrun!$B$2:$H$145,7,FALSE))</f>
        <v>43.06</v>
      </c>
      <c r="P25" s="133">
        <f t="shared" si="0"/>
        <v>43.06</v>
      </c>
      <c r="Q25" s="134">
        <f t="shared" si="1"/>
        <v>1</v>
      </c>
      <c r="R25" s="64">
        <f t="shared" si="2"/>
        <v>0</v>
      </c>
      <c r="S25" s="64">
        <f t="shared" si="3"/>
        <v>43.06</v>
      </c>
      <c r="T25" s="25">
        <f t="shared" si="4"/>
        <v>21</v>
      </c>
      <c r="U25" s="26">
        <f t="shared" si="5"/>
        <v>21</v>
      </c>
      <c r="W25" s="113">
        <v>24230</v>
      </c>
      <c r="X25" s="58"/>
      <c r="Y25" s="44"/>
    </row>
    <row r="26" spans="1:25" x14ac:dyDescent="0.2">
      <c r="A26" s="38" t="s">
        <v>158</v>
      </c>
      <c r="B26" s="81">
        <v>172</v>
      </c>
      <c r="C26" s="81" t="s">
        <v>234</v>
      </c>
      <c r="D26" s="146">
        <v>26270</v>
      </c>
      <c r="E26" s="81" t="s">
        <v>214</v>
      </c>
      <c r="F26" s="61">
        <f>IF(ISNA(VLOOKUP($A26,'2 Bridges Relay'!$F$2:$F$67,1,FALSE)),0,VLOOKUP($A26,'2 Bridges Relay'!$F$2:$J$67,5,FALSE))</f>
        <v>0</v>
      </c>
      <c r="G26" s="88">
        <f>IF(ISNA(VLOOKUP($A26,'5M''s'!$D$2:$E$27,1,FALSE)),0,VLOOKUP($A26,'5M''s'!$D$2:$E$27,2,FALSE))</f>
        <v>0</v>
      </c>
      <c r="H26" s="62">
        <f>IF(ISNA(VLOOKUP($A26,'Mile handicap'!$C$2:$C$51,1,FALSE)),0,VLOOKUP($A26,'Mile handicap'!$C$2:$K$51,9,FALSE))</f>
        <v>0</v>
      </c>
      <c r="I26" s="62">
        <f>IF(ISNA(VLOOKUP($A26,'5000m handicap'!$C$2:$C$46,1,FALSE)),0,VLOOKUP($A26,'5000m handicap'!$C$2:$K$46,9,FALSE))</f>
        <v>0</v>
      </c>
      <c r="J26" s="62">
        <f>IF(ISNA(VLOOKUP($A26,'KL handicap'!$C$2:$C$37,1,FALSE)),0,VLOOKUP($A26,'KL handicap'!$C$2:$I$37,7,FALSE))</f>
        <v>0</v>
      </c>
      <c r="K26" s="62">
        <f>IF(ISNA(VLOOKUP($A26,'3000m handicap'!$C$2:$C$47,1,FALSE)),0,VLOOKUP($A26,'3000m handicap'!$C$2:$K$47,9,FALSE))</f>
        <v>0</v>
      </c>
      <c r="L26" s="62">
        <f>IF(ISNA(VLOOKUP($A26,'10 km'!$B$2:$B$50,1,FALSE)),0,VLOOKUP($A26,'10 km'!$B$2:$D$50,3,FALSE))</f>
        <v>8.16</v>
      </c>
      <c r="M26" s="62">
        <f>IF(ISNA(VLOOKUP($A26,'Peter Moor 2000m'!$C$2:$C$30,1,FALSE)),0,VLOOKUP($A26,'Peter Moor 2000m'!$C$2:$I$30,7,FALSE))</f>
        <v>0</v>
      </c>
      <c r="N26" s="62">
        <f>IF(ISNA(VLOOKUP($A26,'Max Howard Tan handicap'!$C$2:$C$21,1,FALSE)),0,VLOOKUP($A26,'Max Howard Tan handicap'!$C$2:$I$21,7,FALSE))</f>
        <v>0</v>
      </c>
      <c r="O26" s="88">
        <f>IF(ISNA(VLOOKUP($A26,parkrun!$B$2:$H$145,1,FALSE)),0,VLOOKUP($A26,parkrun!$B$2:$H$145,7,FALSE))</f>
        <v>29.17</v>
      </c>
      <c r="P26" s="133">
        <f t="shared" si="0"/>
        <v>37.33</v>
      </c>
      <c r="Q26" s="134">
        <f t="shared" si="1"/>
        <v>2</v>
      </c>
      <c r="R26" s="64">
        <f t="shared" si="2"/>
        <v>0</v>
      </c>
      <c r="S26" s="64">
        <f t="shared" si="3"/>
        <v>37.33</v>
      </c>
      <c r="T26" s="25">
        <f t="shared" si="4"/>
        <v>22</v>
      </c>
      <c r="U26" s="26">
        <f t="shared" si="5"/>
        <v>22</v>
      </c>
      <c r="W26" s="113">
        <v>27521</v>
      </c>
      <c r="X26" s="58"/>
      <c r="Y26" s="44"/>
    </row>
    <row r="27" spans="1:25" x14ac:dyDescent="0.2">
      <c r="A27" s="38" t="s">
        <v>92</v>
      </c>
      <c r="B27" s="81">
        <v>89</v>
      </c>
      <c r="C27" s="81" t="s">
        <v>234</v>
      </c>
      <c r="D27" s="146">
        <v>27503</v>
      </c>
      <c r="E27" s="81" t="s">
        <v>214</v>
      </c>
      <c r="F27" s="61">
        <f>IF(ISNA(VLOOKUP($A27,'2 Bridges Relay'!$F$2:$F$67,1,FALSE)),0,VLOOKUP($A27,'2 Bridges Relay'!$F$2:$J$67,5,FALSE))</f>
        <v>0</v>
      </c>
      <c r="G27" s="88">
        <f>IF(ISNA(VLOOKUP($A27,'5M''s'!$D$2:$E$27,1,FALSE)),0,VLOOKUP($A27,'5M''s'!$D$2:$E$27,2,FALSE))</f>
        <v>0</v>
      </c>
      <c r="H27" s="62">
        <f>IF(ISNA(VLOOKUP($A27,'Mile handicap'!$C$2:$C$51,1,FALSE)),0,VLOOKUP($A27,'Mile handicap'!$C$2:$K$51,9,FALSE))</f>
        <v>0</v>
      </c>
      <c r="I27" s="62">
        <f>IF(ISNA(VLOOKUP($A27,'5000m handicap'!$C$2:$C$46,1,FALSE)),0,VLOOKUP($A27,'5000m handicap'!$C$2:$K$46,9,FALSE))</f>
        <v>0</v>
      </c>
      <c r="J27" s="62">
        <f>IF(ISNA(VLOOKUP($A27,'KL handicap'!$C$2:$C$37,1,FALSE)),0,VLOOKUP($A27,'KL handicap'!$C$2:$I$37,7,FALSE))</f>
        <v>0</v>
      </c>
      <c r="K27" s="62">
        <f>IF(ISNA(VLOOKUP($A27,'3000m handicap'!$C$2:$C$47,1,FALSE)),0,VLOOKUP($A27,'3000m handicap'!$C$2:$K$47,9,FALSE))</f>
        <v>0</v>
      </c>
      <c r="L27" s="62">
        <f>IF(ISNA(VLOOKUP($A27,'10 km'!$B$2:$B$50,1,FALSE)),0,VLOOKUP($A27,'10 km'!$B$2:$D$50,3,FALSE))</f>
        <v>0</v>
      </c>
      <c r="M27" s="62">
        <f>IF(ISNA(VLOOKUP($A27,'Peter Moor 2000m'!$C$2:$C$30,1,FALSE)),0,VLOOKUP($A27,'Peter Moor 2000m'!$C$2:$I$30,7,FALSE))</f>
        <v>0</v>
      </c>
      <c r="N27" s="62">
        <f>IF(ISNA(VLOOKUP($A27,'Max Howard Tan handicap'!$C$2:$C$21,1,FALSE)),0,VLOOKUP($A27,'Max Howard Tan handicap'!$C$2:$I$21,7,FALSE))</f>
        <v>0</v>
      </c>
      <c r="O27" s="88">
        <f>IF(ISNA(VLOOKUP($A27,parkrun!$B$2:$H$145,1,FALSE)),0,VLOOKUP($A27,parkrun!$B$2:$H$145,7,FALSE))</f>
        <v>32.64</v>
      </c>
      <c r="P27" s="133">
        <f t="shared" si="0"/>
        <v>32.64</v>
      </c>
      <c r="Q27" s="134">
        <f t="shared" si="1"/>
        <v>1</v>
      </c>
      <c r="R27" s="64">
        <f t="shared" si="2"/>
        <v>0</v>
      </c>
      <c r="S27" s="64">
        <f t="shared" si="3"/>
        <v>32.64</v>
      </c>
      <c r="T27" s="25">
        <f t="shared" si="4"/>
        <v>23</v>
      </c>
      <c r="U27" s="26">
        <f t="shared" si="5"/>
        <v>23</v>
      </c>
      <c r="W27" s="113">
        <v>27362</v>
      </c>
      <c r="X27" s="58"/>
      <c r="Y27" s="44"/>
    </row>
    <row r="28" spans="1:25" x14ac:dyDescent="0.2">
      <c r="A28" s="38" t="s">
        <v>262</v>
      </c>
      <c r="B28" s="81">
        <v>171</v>
      </c>
      <c r="C28" s="81" t="s">
        <v>234</v>
      </c>
      <c r="D28" s="146">
        <v>30358</v>
      </c>
      <c r="E28" s="81" t="s">
        <v>214</v>
      </c>
      <c r="F28" s="61">
        <f>IF(ISNA(VLOOKUP($A28,'2 Bridges Relay'!$F$2:$F$67,1,FALSE)),0,VLOOKUP($A28,'2 Bridges Relay'!$F$2:$J$67,5,FALSE))</f>
        <v>0</v>
      </c>
      <c r="G28" s="88">
        <f>IF(ISNA(VLOOKUP($A28,'5M''s'!$D$2:$E$27,1,FALSE)),0,VLOOKUP($A28,'5M''s'!$D$2:$E$27,2,FALSE))</f>
        <v>0</v>
      </c>
      <c r="H28" s="62">
        <f>IF(ISNA(VLOOKUP($A28,'Mile handicap'!$C$2:$C$51,1,FALSE)),0,VLOOKUP($A28,'Mile handicap'!$C$2:$K$51,9,FALSE))</f>
        <v>0</v>
      </c>
      <c r="I28" s="62">
        <f>IF(ISNA(VLOOKUP($A28,'5000m handicap'!$C$2:$C$46,1,FALSE)),0,VLOOKUP($A28,'5000m handicap'!$C$2:$K$46,9,FALSE))</f>
        <v>0</v>
      </c>
      <c r="J28" s="62">
        <f>IF(ISNA(VLOOKUP($A28,'KL handicap'!$C$2:$C$37,1,FALSE)),0,VLOOKUP($A28,'KL handicap'!$C$2:$I$37,7,FALSE))</f>
        <v>0</v>
      </c>
      <c r="K28" s="62">
        <f>IF(ISNA(VLOOKUP($A28,'3000m handicap'!$C$2:$C$47,1,FALSE)),0,VLOOKUP($A28,'3000m handicap'!$C$2:$K$47,9,FALSE))</f>
        <v>0</v>
      </c>
      <c r="L28" s="62">
        <f>IF(ISNA(VLOOKUP($A28,'10 km'!$B$2:$B$50,1,FALSE)),0,VLOOKUP($A28,'10 km'!$B$2:$D$50,3,FALSE))</f>
        <v>0</v>
      </c>
      <c r="M28" s="62">
        <f>IF(ISNA(VLOOKUP($A28,'Peter Moor 2000m'!$C$2:$C$30,1,FALSE)),0,VLOOKUP($A28,'Peter Moor 2000m'!$C$2:$I$30,7,FALSE))</f>
        <v>0</v>
      </c>
      <c r="N28" s="62">
        <f>IF(ISNA(VLOOKUP($A28,'Max Howard Tan handicap'!$C$2:$C$21,1,FALSE)),0,VLOOKUP($A28,'Max Howard Tan handicap'!$C$2:$I$21,7,FALSE))</f>
        <v>0</v>
      </c>
      <c r="O28" s="88">
        <f>IF(ISNA(VLOOKUP($A28,parkrun!$B$2:$H$145,1,FALSE)),0,VLOOKUP($A28,parkrun!$B$2:$H$145,7,FALSE))</f>
        <v>32.64</v>
      </c>
      <c r="P28" s="133">
        <f t="shared" si="0"/>
        <v>32.64</v>
      </c>
      <c r="Q28" s="134">
        <f t="shared" si="1"/>
        <v>1</v>
      </c>
      <c r="R28" s="64">
        <f t="shared" si="2"/>
        <v>0</v>
      </c>
      <c r="S28" s="64">
        <f t="shared" si="3"/>
        <v>32.64</v>
      </c>
      <c r="T28" s="25">
        <f t="shared" si="4"/>
        <v>23</v>
      </c>
      <c r="U28" s="26">
        <f t="shared" si="5"/>
        <v>23</v>
      </c>
      <c r="W28" s="113">
        <v>20975</v>
      </c>
      <c r="X28" s="58"/>
      <c r="Y28" s="44"/>
    </row>
    <row r="29" spans="1:25" x14ac:dyDescent="0.2">
      <c r="A29" s="38" t="s">
        <v>206</v>
      </c>
      <c r="B29" s="81">
        <v>216</v>
      </c>
      <c r="C29" s="81" t="s">
        <v>234</v>
      </c>
      <c r="D29" s="146">
        <v>31366</v>
      </c>
      <c r="E29" s="81" t="s">
        <v>214</v>
      </c>
      <c r="F29" s="61">
        <f>IF(ISNA(VLOOKUP($A29,'2 Bridges Relay'!$F$2:$F$67,1,FALSE)),0,VLOOKUP($A29,'2 Bridges Relay'!$F$2:$J$67,5,FALSE))</f>
        <v>0</v>
      </c>
      <c r="G29" s="88">
        <f>IF(ISNA(VLOOKUP($A29,'5M''s'!$D$2:$E$27,1,FALSE)),0,VLOOKUP($A29,'5M''s'!$D$2:$E$27,2,FALSE))</f>
        <v>0</v>
      </c>
      <c r="H29" s="62">
        <f>IF(ISNA(VLOOKUP($A29,'Mile handicap'!$C$2:$C$51,1,FALSE)),0,VLOOKUP($A29,'Mile handicap'!$C$2:$K$51,9,FALSE))</f>
        <v>0</v>
      </c>
      <c r="I29" s="62">
        <f>IF(ISNA(VLOOKUP($A29,'5000m handicap'!$C$2:$C$46,1,FALSE)),0,VLOOKUP($A29,'5000m handicap'!$C$2:$K$46,9,FALSE))</f>
        <v>0</v>
      </c>
      <c r="J29" s="62">
        <f>IF(ISNA(VLOOKUP($A29,'KL handicap'!$C$2:$C$37,1,FALSE)),0,VLOOKUP($A29,'KL handicap'!$C$2:$I$37,7,FALSE))</f>
        <v>0</v>
      </c>
      <c r="K29" s="62">
        <f>IF(ISNA(VLOOKUP($A29,'3000m handicap'!$C$2:$C$47,1,FALSE)),0,VLOOKUP($A29,'3000m handicap'!$C$2:$K$47,9,FALSE))</f>
        <v>0</v>
      </c>
      <c r="L29" s="62">
        <f>IF(ISNA(VLOOKUP($A29,'10 km'!$B$2:$B$50,1,FALSE)),0,VLOOKUP($A29,'10 km'!$B$2:$D$50,3,FALSE))</f>
        <v>0</v>
      </c>
      <c r="M29" s="62">
        <f>IF(ISNA(VLOOKUP($A29,'Peter Moor 2000m'!$C$2:$C$30,1,FALSE)),0,VLOOKUP($A29,'Peter Moor 2000m'!$C$2:$I$30,7,FALSE))</f>
        <v>0</v>
      </c>
      <c r="N29" s="62">
        <f>IF(ISNA(VLOOKUP($A29,'Max Howard Tan handicap'!$C$2:$C$21,1,FALSE)),0,VLOOKUP($A29,'Max Howard Tan handicap'!$C$2:$I$21,7,FALSE))</f>
        <v>0</v>
      </c>
      <c r="O29" s="88">
        <f>IF(ISNA(VLOOKUP($A29,parkrun!$B$2:$H$145,1,FALSE)),0,VLOOKUP($A29,parkrun!$B$2:$H$145,7,FALSE))</f>
        <v>25.69</v>
      </c>
      <c r="P29" s="133">
        <f t="shared" si="0"/>
        <v>25.69</v>
      </c>
      <c r="Q29" s="134">
        <f t="shared" si="1"/>
        <v>1</v>
      </c>
      <c r="R29" s="64">
        <f t="shared" si="2"/>
        <v>0</v>
      </c>
      <c r="S29" s="64">
        <f t="shared" si="3"/>
        <v>25.69</v>
      </c>
      <c r="T29" s="25">
        <f t="shared" si="4"/>
        <v>25</v>
      </c>
      <c r="U29" s="26">
        <f t="shared" si="5"/>
        <v>25</v>
      </c>
      <c r="W29" s="113">
        <v>26892</v>
      </c>
      <c r="X29" s="58"/>
      <c r="Y29" s="44"/>
    </row>
    <row r="30" spans="1:25" x14ac:dyDescent="0.2">
      <c r="A30" s="38" t="s">
        <v>201</v>
      </c>
      <c r="B30" s="81">
        <v>219</v>
      </c>
      <c r="C30" s="81" t="s">
        <v>234</v>
      </c>
      <c r="D30" s="146">
        <v>31230</v>
      </c>
      <c r="E30" s="81" t="s">
        <v>214</v>
      </c>
      <c r="F30" s="61">
        <f>IF(ISNA(VLOOKUP($A30,'2 Bridges Relay'!$F$2:$F$67,1,FALSE)),0,VLOOKUP($A30,'2 Bridges Relay'!$F$2:$J$67,5,FALSE))</f>
        <v>0</v>
      </c>
      <c r="G30" s="88">
        <f>IF(ISNA(VLOOKUP($A30,'5M''s'!$D$2:$E$27,1,FALSE)),0,VLOOKUP($A30,'5M''s'!$D$2:$E$27,2,FALSE))</f>
        <v>0</v>
      </c>
      <c r="H30" s="62">
        <f>IF(ISNA(VLOOKUP($A30,'Mile handicap'!$C$2:$C$51,1,FALSE)),0,VLOOKUP($A30,'Mile handicap'!$C$2:$K$51,9,FALSE))</f>
        <v>0</v>
      </c>
      <c r="I30" s="62">
        <f>IF(ISNA(VLOOKUP($A30,'5000m handicap'!$C$2:$C$46,1,FALSE)),0,VLOOKUP($A30,'5000m handicap'!$C$2:$K$46,9,FALSE))</f>
        <v>0</v>
      </c>
      <c r="J30" s="88">
        <f>IF(ISNA(VLOOKUP($A30,'KL handicap'!$C$2:$C$37,1,FALSE)),0,VLOOKUP($A30,'KL handicap'!$C$2:$I$37,7,FALSE))</f>
        <v>0</v>
      </c>
      <c r="K30" s="62">
        <f>IF(ISNA(VLOOKUP($A30,'3000m handicap'!$C$2:$C$47,1,FALSE)),0,VLOOKUP($A30,'3000m handicap'!$C$2:$K$47,9,FALSE))</f>
        <v>0</v>
      </c>
      <c r="L30" s="62">
        <f>IF(ISNA(VLOOKUP($A30,'10 km'!$B$2:$B$50,1,FALSE)),0,VLOOKUP($A30,'10 km'!$B$2:$D$50,3,FALSE))</f>
        <v>0</v>
      </c>
      <c r="M30" s="62">
        <f>IF(ISNA(VLOOKUP($A30,'Peter Moor 2000m'!$C$2:$C$30,1,FALSE)),0,VLOOKUP($A30,'Peter Moor 2000m'!$C$2:$I$30,7,FALSE))</f>
        <v>0</v>
      </c>
      <c r="N30" s="62">
        <f>IF(ISNA(VLOOKUP($A30,'Max Howard Tan handicap'!$C$2:$C$21,1,FALSE)),0,VLOOKUP($A30,'Max Howard Tan handicap'!$C$2:$I$21,7,FALSE))</f>
        <v>0</v>
      </c>
      <c r="O30" s="88">
        <f>IF(ISNA(VLOOKUP($A30,parkrun!$B$2:$H$145,1,FALSE)),0,VLOOKUP($A30,parkrun!$B$2:$H$145,7,FALSE))</f>
        <v>17.36</v>
      </c>
      <c r="P30" s="133">
        <f t="shared" si="0"/>
        <v>17.36</v>
      </c>
      <c r="Q30" s="134">
        <f t="shared" si="1"/>
        <v>1</v>
      </c>
      <c r="R30" s="64">
        <f t="shared" si="2"/>
        <v>0</v>
      </c>
      <c r="S30" s="64">
        <f t="shared" si="3"/>
        <v>17.36</v>
      </c>
      <c r="T30" s="25">
        <f t="shared" si="4"/>
        <v>26</v>
      </c>
      <c r="U30" s="26">
        <f t="shared" si="5"/>
        <v>26</v>
      </c>
      <c r="W30" s="113">
        <v>27260</v>
      </c>
      <c r="X30" s="58"/>
      <c r="Y30" s="44"/>
    </row>
    <row r="31" spans="1:25" x14ac:dyDescent="0.2">
      <c r="A31" s="38" t="s">
        <v>407</v>
      </c>
      <c r="B31" s="81">
        <v>310</v>
      </c>
      <c r="C31" s="81" t="s">
        <v>234</v>
      </c>
      <c r="D31" s="146">
        <v>30089</v>
      </c>
      <c r="E31" s="81" t="s">
        <v>214</v>
      </c>
      <c r="F31" s="61">
        <f>IF(ISNA(VLOOKUP($A31,'2 Bridges Relay'!$F$2:$F$67,1,FALSE)),0,VLOOKUP($A31,'2 Bridges Relay'!$F$2:$J$67,5,FALSE))</f>
        <v>0</v>
      </c>
      <c r="G31" s="88">
        <f>IF(ISNA(VLOOKUP($A31,'5M''s'!$D$2:$E$27,1,FALSE)),0,VLOOKUP($A31,'5M''s'!$D$2:$E$27,2,FALSE))</f>
        <v>0</v>
      </c>
      <c r="H31" s="62">
        <f>IF(ISNA(VLOOKUP($A31,'Mile handicap'!$C$2:$C$51,1,FALSE)),0,VLOOKUP($A31,'Mile handicap'!$C$2:$K$51,9,FALSE))</f>
        <v>0</v>
      </c>
      <c r="I31" s="62">
        <f>IF(ISNA(VLOOKUP($A31,'5000m handicap'!$C$2:$C$46,1,FALSE)),0,VLOOKUP($A31,'5000m handicap'!$C$2:$K$46,9,FALSE))</f>
        <v>0</v>
      </c>
      <c r="J31" s="62">
        <f>IF(ISNA(VLOOKUP($A31,'KL handicap'!$C$2:$C$37,1,FALSE)),0,VLOOKUP($A31,'KL handicap'!$C$2:$I$37,7,FALSE))</f>
        <v>0</v>
      </c>
      <c r="K31" s="62">
        <f>IF(ISNA(VLOOKUP($A31,'3000m handicap'!$C$2:$C$47,1,FALSE)),0,VLOOKUP($A31,'3000m handicap'!$C$2:$K$47,9,FALSE))</f>
        <v>11.11</v>
      </c>
      <c r="L31" s="62">
        <f>IF(ISNA(VLOOKUP($A31,'10 km'!$B$2:$B$50,1,FALSE)),0,VLOOKUP($A31,'10 km'!$B$2:$D$50,3,FALSE))</f>
        <v>0</v>
      </c>
      <c r="M31" s="62">
        <f>IF(ISNA(VLOOKUP($A31,'Peter Moor 2000m'!$C$2:$C$30,1,FALSE)),0,VLOOKUP($A31,'Peter Moor 2000m'!$C$2:$I$30,7,FALSE))</f>
        <v>0</v>
      </c>
      <c r="N31" s="62">
        <f>IF(ISNA(VLOOKUP($A31,'Max Howard Tan handicap'!$C$2:$C$21,1,FALSE)),0,VLOOKUP($A31,'Max Howard Tan handicap'!$C$2:$I$21,7,FALSE))</f>
        <v>0</v>
      </c>
      <c r="O31" s="88">
        <f>IF(ISNA(VLOOKUP($A31,parkrun!$B$2:$H$145,1,FALSE)),0,VLOOKUP($A31,parkrun!$B$2:$H$145,7,FALSE))</f>
        <v>0</v>
      </c>
      <c r="P31" s="133">
        <f t="shared" si="0"/>
        <v>11.11</v>
      </c>
      <c r="Q31" s="134">
        <f t="shared" si="1"/>
        <v>1</v>
      </c>
      <c r="R31" s="64">
        <f t="shared" si="2"/>
        <v>0</v>
      </c>
      <c r="S31" s="64">
        <f t="shared" si="3"/>
        <v>11.11</v>
      </c>
      <c r="T31" s="25">
        <f t="shared" si="4"/>
        <v>27</v>
      </c>
      <c r="U31" s="26">
        <f t="shared" si="5"/>
        <v>27</v>
      </c>
      <c r="W31" s="113">
        <v>22192</v>
      </c>
      <c r="X31" s="58"/>
      <c r="Y31" s="44"/>
    </row>
    <row r="32" spans="1:25" x14ac:dyDescent="0.2">
      <c r="A32" s="38" t="s">
        <v>404</v>
      </c>
      <c r="B32" s="81">
        <v>81</v>
      </c>
      <c r="C32" s="81" t="s">
        <v>234</v>
      </c>
      <c r="D32" s="146">
        <v>26592</v>
      </c>
      <c r="E32" s="81" t="s">
        <v>214</v>
      </c>
      <c r="F32" s="61">
        <f>IF(ISNA(VLOOKUP($A32,'2 Bridges Relay'!$F$2:$F$67,1,FALSE)),0,VLOOKUP($A32,'2 Bridges Relay'!$F$2:$J$67,5,FALSE))</f>
        <v>0</v>
      </c>
      <c r="G32" s="88">
        <f>IF(ISNA(VLOOKUP($A32,'5M''s'!$D$2:$E$27,1,FALSE)),0,VLOOKUP($A32,'5M''s'!$D$2:$E$27,2,FALSE))</f>
        <v>0</v>
      </c>
      <c r="H32" s="62">
        <f>IF(ISNA(VLOOKUP($A32,'Mile handicap'!$C$2:$C$51,1,FALSE)),0,VLOOKUP($A32,'Mile handicap'!$C$2:$K$51,9,FALSE))</f>
        <v>0</v>
      </c>
      <c r="I32" s="62">
        <f>IF(ISNA(VLOOKUP($A32,'5000m handicap'!$C$2:$C$46,1,FALSE)),0,VLOOKUP($A32,'5000m handicap'!$C$2:$K$46,9,FALSE))</f>
        <v>0</v>
      </c>
      <c r="J32" s="62">
        <f>IF(ISNA(VLOOKUP($A32,'KL handicap'!$C$2:$C$37,1,FALSE)),0,VLOOKUP($A32,'KL handicap'!$C$2:$I$37,7,FALSE))</f>
        <v>0</v>
      </c>
      <c r="K32" s="62">
        <f>IF(ISNA(VLOOKUP($A32,'3000m handicap'!$C$2:$C$47,1,FALSE)),0,VLOOKUP($A32,'3000m handicap'!$C$2:$K$47,9,FALSE))</f>
        <v>0</v>
      </c>
      <c r="L32" s="62">
        <f>IF(ISNA(VLOOKUP($A32,'10 km'!$B$2:$B$50,1,FALSE)),0,VLOOKUP($A32,'10 km'!$B$2:$D$50,3,FALSE))</f>
        <v>0</v>
      </c>
      <c r="M32" s="62">
        <f>IF(ISNA(VLOOKUP($A32,'Peter Moor 2000m'!$C$2:$C$30,1,FALSE)),0,VLOOKUP($A32,'Peter Moor 2000m'!$C$2:$I$30,7,FALSE))</f>
        <v>4.55</v>
      </c>
      <c r="N32" s="62">
        <f>IF(ISNA(VLOOKUP($A32,'Max Howard Tan handicap'!$C$2:$C$21,1,FALSE)),0,VLOOKUP($A32,'Max Howard Tan handicap'!$C$2:$I$21,7,FALSE))</f>
        <v>0</v>
      </c>
      <c r="O32" s="88">
        <f>IF(ISNA(VLOOKUP($A32,parkrun!$B$2:$H$145,1,FALSE)),0,VLOOKUP($A32,parkrun!$B$2:$H$145,7,FALSE))</f>
        <v>0</v>
      </c>
      <c r="P32" s="133">
        <f t="shared" si="0"/>
        <v>4.55</v>
      </c>
      <c r="Q32" s="134">
        <f t="shared" si="1"/>
        <v>1</v>
      </c>
      <c r="R32" s="64">
        <f t="shared" si="2"/>
        <v>0</v>
      </c>
      <c r="S32" s="64">
        <f t="shared" si="3"/>
        <v>4.55</v>
      </c>
      <c r="T32" s="25">
        <f t="shared" si="4"/>
        <v>28</v>
      </c>
      <c r="U32" s="26">
        <f t="shared" si="5"/>
        <v>28</v>
      </c>
      <c r="W32" s="113">
        <v>23372</v>
      </c>
      <c r="X32" s="58"/>
      <c r="Y32" s="44"/>
    </row>
    <row r="33" spans="1:25" x14ac:dyDescent="0.2">
      <c r="A33" s="38" t="s">
        <v>441</v>
      </c>
      <c r="B33" s="81">
        <v>320</v>
      </c>
      <c r="C33" s="81" t="s">
        <v>234</v>
      </c>
      <c r="D33" s="146">
        <v>29964</v>
      </c>
      <c r="E33" s="81" t="s">
        <v>214</v>
      </c>
      <c r="F33" s="61">
        <f>IF(ISNA(VLOOKUP($A33,'2 Bridges Relay'!$F$2:$F$67,1,FALSE)),0,VLOOKUP($A33,'2 Bridges Relay'!$F$2:$J$67,5,FALSE))</f>
        <v>0</v>
      </c>
      <c r="G33" s="88">
        <f>IF(ISNA(VLOOKUP($A33,'5M''s'!$D$2:$E$27,1,FALSE)),0,VLOOKUP($A33,'5M''s'!$D$2:$E$27,2,FALSE))</f>
        <v>0</v>
      </c>
      <c r="H33" s="62">
        <f>IF(ISNA(VLOOKUP($A33,'Mile handicap'!$C$2:$C$51,1,FALSE)),0,VLOOKUP($A33,'Mile handicap'!$C$2:$K$51,9,FALSE))</f>
        <v>0</v>
      </c>
      <c r="I33" s="62">
        <f>IF(ISNA(VLOOKUP($A33,'5000m handicap'!$C$2:$C$46,1,FALSE)),0,VLOOKUP($A33,'5000m handicap'!$C$2:$K$46,9,FALSE))</f>
        <v>0</v>
      </c>
      <c r="J33" s="62">
        <f>IF(ISNA(VLOOKUP($A33,'KL handicap'!$C$2:$C$37,1,FALSE)),0,VLOOKUP($A33,'KL handicap'!$C$2:$I$37,7,FALSE))</f>
        <v>0</v>
      </c>
      <c r="K33" s="62">
        <f>IF(ISNA(VLOOKUP($A33,'3000m handicap'!$C$2:$C$47,1,FALSE)),0,VLOOKUP($A33,'3000m handicap'!$C$2:$K$47,9,FALSE))</f>
        <v>0</v>
      </c>
      <c r="L33" s="62">
        <f>IF(ISNA(VLOOKUP($A33,'10 km'!$B$2:$B$50,1,FALSE)),0,VLOOKUP($A33,'10 km'!$B$2:$D$50,3,FALSE))</f>
        <v>0</v>
      </c>
      <c r="M33" s="62">
        <f>IF(ISNA(VLOOKUP($A33,'Peter Moor 2000m'!$C$2:$C$30,1,FALSE)),0,VLOOKUP($A33,'Peter Moor 2000m'!$C$2:$I$30,7,FALSE))</f>
        <v>0</v>
      </c>
      <c r="N33" s="62">
        <f>IF(ISNA(VLOOKUP($A33,'Max Howard Tan handicap'!$C$2:$C$21,1,FALSE)),0,VLOOKUP($A33,'Max Howard Tan handicap'!$C$2:$I$21,7,FALSE))</f>
        <v>0</v>
      </c>
      <c r="O33" s="88">
        <f>IF(ISNA(VLOOKUP($A33,parkrun!$B$2:$H$145,1,FALSE)),0,VLOOKUP($A33,parkrun!$B$2:$H$145,7,FALSE))</f>
        <v>0</v>
      </c>
      <c r="P33" s="133">
        <f t="shared" si="0"/>
        <v>0</v>
      </c>
      <c r="Q33" s="134">
        <f t="shared" si="1"/>
        <v>0</v>
      </c>
      <c r="R33" s="64">
        <f t="shared" si="2"/>
        <v>0</v>
      </c>
      <c r="S33" s="64">
        <f t="shared" si="3"/>
        <v>0</v>
      </c>
      <c r="T33" s="25">
        <f t="shared" si="4"/>
        <v>29</v>
      </c>
      <c r="U33" s="26">
        <f t="shared" si="5"/>
        <v>29</v>
      </c>
      <c r="W33" s="113">
        <v>29801</v>
      </c>
      <c r="X33" s="58"/>
      <c r="Y33" s="44"/>
    </row>
    <row r="34" spans="1:25" x14ac:dyDescent="0.2">
      <c r="A34" s="38" t="s">
        <v>194</v>
      </c>
      <c r="B34" s="81">
        <v>118</v>
      </c>
      <c r="C34" s="81" t="s">
        <v>234</v>
      </c>
      <c r="D34" s="146">
        <v>29833</v>
      </c>
      <c r="E34" s="81" t="s">
        <v>214</v>
      </c>
      <c r="F34" s="61">
        <f>IF(ISNA(VLOOKUP($A34,'2 Bridges Relay'!$F$2:$F$67,1,FALSE)),0,VLOOKUP($A34,'2 Bridges Relay'!$F$2:$J$67,5,FALSE))</f>
        <v>0</v>
      </c>
      <c r="G34" s="88">
        <f>IF(ISNA(VLOOKUP($A34,'5M''s'!$D$2:$E$27,1,FALSE)),0,VLOOKUP($A34,'5M''s'!$D$2:$E$27,2,FALSE))</f>
        <v>0</v>
      </c>
      <c r="H34" s="62">
        <f>IF(ISNA(VLOOKUP($A34,'Mile handicap'!$C$2:$C$51,1,FALSE)),0,VLOOKUP($A34,'Mile handicap'!$C$2:$K$51,9,FALSE))</f>
        <v>0</v>
      </c>
      <c r="I34" s="62">
        <f>IF(ISNA(VLOOKUP($A34,'5000m handicap'!$C$2:$C$46,1,FALSE)),0,VLOOKUP($A34,'5000m handicap'!$C$2:$K$46,9,FALSE))</f>
        <v>0</v>
      </c>
      <c r="J34" s="62">
        <f>IF(ISNA(VLOOKUP($A34,'KL handicap'!$C$2:$C$37,1,FALSE)),0,VLOOKUP($A34,'KL handicap'!$C$2:$I$37,7,FALSE))</f>
        <v>0</v>
      </c>
      <c r="K34" s="62">
        <f>IF(ISNA(VLOOKUP($A34,'3000m handicap'!$C$2:$C$47,1,FALSE)),0,VLOOKUP($A34,'3000m handicap'!$C$2:$K$47,9,FALSE))</f>
        <v>0</v>
      </c>
      <c r="L34" s="62">
        <f>IF(ISNA(VLOOKUP($A34,'10 km'!$B$2:$B$50,1,FALSE)),0,VLOOKUP($A34,'10 km'!$B$2:$D$50,3,FALSE))</f>
        <v>0</v>
      </c>
      <c r="M34" s="62">
        <f>IF(ISNA(VLOOKUP($A34,'Peter Moor 2000m'!$C$2:$C$30,1,FALSE)),0,VLOOKUP($A34,'Peter Moor 2000m'!$C$2:$I$30,7,FALSE))</f>
        <v>0</v>
      </c>
      <c r="N34" s="62">
        <f>IF(ISNA(VLOOKUP($A34,'Max Howard Tan handicap'!$C$2:$C$21,1,FALSE)),0,VLOOKUP($A34,'Max Howard Tan handicap'!$C$2:$I$21,7,FALSE))</f>
        <v>0</v>
      </c>
      <c r="O34" s="88">
        <f>IF(ISNA(VLOOKUP($A34,parkrun!$B$2:$H$145,1,FALSE)),0,VLOOKUP($A34,parkrun!$B$2:$H$145,7,FALSE))</f>
        <v>0</v>
      </c>
      <c r="P34" s="133">
        <f t="shared" si="0"/>
        <v>0</v>
      </c>
      <c r="Q34" s="134">
        <f t="shared" si="1"/>
        <v>0</v>
      </c>
      <c r="R34" s="64">
        <f t="shared" si="2"/>
        <v>0</v>
      </c>
      <c r="S34" s="64">
        <f t="shared" si="3"/>
        <v>0</v>
      </c>
      <c r="T34" s="25">
        <f t="shared" si="4"/>
        <v>29</v>
      </c>
      <c r="U34" s="26">
        <f t="shared" si="5"/>
        <v>29</v>
      </c>
      <c r="W34" s="113">
        <v>32084</v>
      </c>
      <c r="X34" s="58"/>
      <c r="Y34" s="44"/>
    </row>
    <row r="35" spans="1:25" x14ac:dyDescent="0.2">
      <c r="A35" s="38" t="s">
        <v>293</v>
      </c>
      <c r="B35" s="81">
        <v>265</v>
      </c>
      <c r="C35" s="81" t="s">
        <v>234</v>
      </c>
      <c r="D35" s="146">
        <v>35523</v>
      </c>
      <c r="E35" s="81" t="s">
        <v>214</v>
      </c>
      <c r="F35" s="61">
        <f>IF(ISNA(VLOOKUP($A35,'2 Bridges Relay'!$F$2:$F$67,1,FALSE)),0,VLOOKUP($A35,'2 Bridges Relay'!$F$2:$J$67,5,FALSE))</f>
        <v>0</v>
      </c>
      <c r="G35" s="88">
        <f>IF(ISNA(VLOOKUP($A35,'5M''s'!$D$2:$E$27,1,FALSE)),0,VLOOKUP($A35,'5M''s'!$D$2:$E$27,2,FALSE))</f>
        <v>0</v>
      </c>
      <c r="H35" s="62">
        <f>IF(ISNA(VLOOKUP($A35,'Mile handicap'!$C$2:$C$51,1,FALSE)),0,VLOOKUP($A35,'Mile handicap'!$C$2:$K$51,9,FALSE))</f>
        <v>0</v>
      </c>
      <c r="I35" s="62">
        <f>IF(ISNA(VLOOKUP($A35,'5000m handicap'!$C$2:$C$46,1,FALSE)),0,VLOOKUP($A35,'5000m handicap'!$C$2:$K$46,9,FALSE))</f>
        <v>0</v>
      </c>
      <c r="J35" s="62">
        <f>IF(ISNA(VLOOKUP($A35,'KL handicap'!$C$2:$C$37,1,FALSE)),0,VLOOKUP($A35,'KL handicap'!$C$2:$I$37,7,FALSE))</f>
        <v>0</v>
      </c>
      <c r="K35" s="62">
        <f>IF(ISNA(VLOOKUP($A35,'3000m handicap'!$C$2:$C$47,1,FALSE)),0,VLOOKUP($A35,'3000m handicap'!$C$2:$K$47,9,FALSE))</f>
        <v>0</v>
      </c>
      <c r="L35" s="62">
        <f>IF(ISNA(VLOOKUP($A35,'10 km'!$B$2:$B$50,1,FALSE)),0,VLOOKUP($A35,'10 km'!$B$2:$D$50,3,FALSE))</f>
        <v>0</v>
      </c>
      <c r="M35" s="62">
        <f>IF(ISNA(VLOOKUP($A35,'Peter Moor 2000m'!$C$2:$C$30,1,FALSE)),0,VLOOKUP($A35,'Peter Moor 2000m'!$C$2:$I$30,7,FALSE))</f>
        <v>0</v>
      </c>
      <c r="N35" s="62">
        <f>IF(ISNA(VLOOKUP($A35,'Max Howard Tan handicap'!$C$2:$C$21,1,FALSE)),0,VLOOKUP($A35,'Max Howard Tan handicap'!$C$2:$I$21,7,FALSE))</f>
        <v>0</v>
      </c>
      <c r="O35" s="88">
        <f>IF(ISNA(VLOOKUP($A35,parkrun!$B$2:$H$145,1,FALSE)),0,VLOOKUP($A35,parkrun!$B$2:$H$145,7,FALSE))</f>
        <v>0</v>
      </c>
      <c r="P35" s="133">
        <f t="shared" si="0"/>
        <v>0</v>
      </c>
      <c r="Q35" s="134">
        <f t="shared" si="1"/>
        <v>0</v>
      </c>
      <c r="R35" s="64">
        <f t="shared" si="2"/>
        <v>0</v>
      </c>
      <c r="S35" s="64">
        <f t="shared" si="3"/>
        <v>0</v>
      </c>
      <c r="T35" s="25">
        <f t="shared" si="4"/>
        <v>29</v>
      </c>
      <c r="U35" s="26">
        <f t="shared" si="5"/>
        <v>29</v>
      </c>
      <c r="W35" s="113">
        <v>26469</v>
      </c>
      <c r="X35" s="58"/>
      <c r="Y35" s="44"/>
    </row>
    <row r="36" spans="1:25" x14ac:dyDescent="0.2">
      <c r="A36" s="46" t="s">
        <v>365</v>
      </c>
      <c r="B36" s="81">
        <v>282</v>
      </c>
      <c r="C36" s="81" t="s">
        <v>234</v>
      </c>
      <c r="D36" s="146">
        <v>30835</v>
      </c>
      <c r="E36" s="81" t="s">
        <v>214</v>
      </c>
      <c r="F36" s="61">
        <f>IF(ISNA(VLOOKUP($A36,'2 Bridges Relay'!$F$2:$F$67,1,FALSE)),0,VLOOKUP($A36,'2 Bridges Relay'!$F$2:$J$67,5,FALSE))</f>
        <v>0</v>
      </c>
      <c r="G36" s="88">
        <f>IF(ISNA(VLOOKUP($A36,'5M''s'!$D$2:$E$27,1,FALSE)),0,VLOOKUP($A36,'5M''s'!$D$2:$E$27,2,FALSE))</f>
        <v>0</v>
      </c>
      <c r="H36" s="62">
        <f>IF(ISNA(VLOOKUP($A36,'Mile handicap'!$C$2:$C$51,1,FALSE)),0,VLOOKUP($A36,'Mile handicap'!$C$2:$K$51,9,FALSE))</f>
        <v>0</v>
      </c>
      <c r="I36" s="62">
        <f>IF(ISNA(VLOOKUP($A36,'5000m handicap'!$C$2:$C$46,1,FALSE)),0,VLOOKUP($A36,'5000m handicap'!$C$2:$K$46,9,FALSE))</f>
        <v>0</v>
      </c>
      <c r="J36" s="62">
        <f>IF(ISNA(VLOOKUP($A36,'KL handicap'!$C$2:$C$37,1,FALSE)),0,VLOOKUP($A36,'KL handicap'!$C$2:$I$37,7,FALSE))</f>
        <v>0</v>
      </c>
      <c r="K36" s="62">
        <f>IF(ISNA(VLOOKUP($A36,'3000m handicap'!$C$2:$C$47,1,FALSE)),0,VLOOKUP($A36,'3000m handicap'!$C$2:$K$47,9,FALSE))</f>
        <v>0</v>
      </c>
      <c r="L36" s="62">
        <f>IF(ISNA(VLOOKUP($A36,'10 km'!$B$2:$B$50,1,FALSE)),0,VLOOKUP($A36,'10 km'!$B$2:$D$50,3,FALSE))</f>
        <v>0</v>
      </c>
      <c r="M36" s="62">
        <f>IF(ISNA(VLOOKUP($A36,'Peter Moor 2000m'!$C$2:$C$30,1,FALSE)),0,VLOOKUP($A36,'Peter Moor 2000m'!$C$2:$I$30,7,FALSE))</f>
        <v>0</v>
      </c>
      <c r="N36" s="62">
        <f>IF(ISNA(VLOOKUP($A36,'Max Howard Tan handicap'!$C$2:$C$21,1,FALSE)),0,VLOOKUP($A36,'Max Howard Tan handicap'!$C$2:$I$21,7,FALSE))</f>
        <v>0</v>
      </c>
      <c r="O36" s="88">
        <f>IF(ISNA(VLOOKUP($A36,parkrun!$B$2:$H$145,1,FALSE)),0,VLOOKUP($A36,parkrun!$B$2:$H$145,7,FALSE))</f>
        <v>0</v>
      </c>
      <c r="P36" s="133">
        <f t="shared" si="0"/>
        <v>0</v>
      </c>
      <c r="Q36" s="134">
        <f t="shared" si="1"/>
        <v>0</v>
      </c>
      <c r="R36" s="64">
        <f t="shared" si="2"/>
        <v>0</v>
      </c>
      <c r="S36" s="64">
        <f t="shared" si="3"/>
        <v>0</v>
      </c>
      <c r="T36" s="25">
        <f t="shared" si="4"/>
        <v>29</v>
      </c>
      <c r="U36" s="26">
        <f t="shared" si="5"/>
        <v>29</v>
      </c>
      <c r="W36" s="113"/>
    </row>
    <row r="37" spans="1:25" x14ac:dyDescent="0.2">
      <c r="A37" s="46" t="s">
        <v>118</v>
      </c>
      <c r="B37" s="81">
        <v>143</v>
      </c>
      <c r="C37" s="81" t="s">
        <v>234</v>
      </c>
      <c r="D37" s="146">
        <v>29101</v>
      </c>
      <c r="E37" s="81" t="s">
        <v>214</v>
      </c>
      <c r="F37" s="61">
        <f>IF(ISNA(VLOOKUP($A37,'2 Bridges Relay'!$F$2:$F$67,1,FALSE)),0,VLOOKUP($A37,'2 Bridges Relay'!$F$2:$J$67,5,FALSE))</f>
        <v>0</v>
      </c>
      <c r="G37" s="88">
        <f>IF(ISNA(VLOOKUP($A37,'5M''s'!$D$2:$E$27,1,FALSE)),0,VLOOKUP($A37,'5M''s'!$D$2:$E$27,2,FALSE))</f>
        <v>0</v>
      </c>
      <c r="H37" s="62">
        <f>IF(ISNA(VLOOKUP($A37,'Mile handicap'!$C$2:$C$51,1,FALSE)),0,VLOOKUP($A37,'Mile handicap'!$C$2:$K$51,9,FALSE))</f>
        <v>0</v>
      </c>
      <c r="I37" s="62">
        <f>IF(ISNA(VLOOKUP($A37,'5000m handicap'!$C$2:$C$46,1,FALSE)),0,VLOOKUP($A37,'5000m handicap'!$C$2:$K$46,9,FALSE))</f>
        <v>0</v>
      </c>
      <c r="J37" s="62">
        <f>IF(ISNA(VLOOKUP($A37,'KL handicap'!$C$2:$C$37,1,FALSE)),0,VLOOKUP($A37,'KL handicap'!$C$2:$I$37,7,FALSE))</f>
        <v>0</v>
      </c>
      <c r="K37" s="62">
        <f>IF(ISNA(VLOOKUP($A37,'3000m handicap'!$C$2:$C$47,1,FALSE)),0,VLOOKUP($A37,'3000m handicap'!$C$2:$K$47,9,FALSE))</f>
        <v>0</v>
      </c>
      <c r="L37" s="62">
        <f>IF(ISNA(VLOOKUP($A37,'10 km'!$B$2:$B$50,1,FALSE)),0,VLOOKUP($A37,'10 km'!$B$2:$D$50,3,FALSE))</f>
        <v>0</v>
      </c>
      <c r="M37" s="62">
        <f>IF(ISNA(VLOOKUP($A37,'Peter Moor 2000m'!$C$2:$C$30,1,FALSE)),0,VLOOKUP($A37,'Peter Moor 2000m'!$C$2:$I$30,7,FALSE))</f>
        <v>0</v>
      </c>
      <c r="N37" s="62">
        <f>IF(ISNA(VLOOKUP($A37,'Max Howard Tan handicap'!$C$2:$C$21,1,FALSE)),0,VLOOKUP($A37,'Max Howard Tan handicap'!$C$2:$I$21,7,FALSE))</f>
        <v>0</v>
      </c>
      <c r="O37" s="88">
        <f>IF(ISNA(VLOOKUP($A37,parkrun!$B$2:$H$145,1,FALSE)),0,VLOOKUP($A37,parkrun!$B$2:$H$145,7,FALSE))</f>
        <v>0</v>
      </c>
      <c r="P37" s="133">
        <f t="shared" ref="P37:P68" si="9">SUM(F37:O37)</f>
        <v>0</v>
      </c>
      <c r="Q37" s="134">
        <f t="shared" ref="Q37:Q56" si="10">COUNTIF(F37:O37,"&gt;0")</f>
        <v>0</v>
      </c>
      <c r="R37" s="64">
        <f t="shared" ref="R37:R56" si="11">SMALL(F37:O37,1)+SMALL(F37:O37,2)+SMALL(F37:O37,3)+SMALL(F37:O37,4)</f>
        <v>0</v>
      </c>
      <c r="S37" s="64">
        <f t="shared" ref="S37:S68" si="12">IF(Q37=1,P37,P37-R37)</f>
        <v>0</v>
      </c>
      <c r="T37" s="25">
        <f t="shared" ref="T37:T56" si="13">RANK(P37,$P$5:$P$57,0)</f>
        <v>29</v>
      </c>
      <c r="U37" s="26">
        <f t="shared" ref="U37:U56" si="14">RANK(S37,$S$5:$S$57,0)</f>
        <v>29</v>
      </c>
      <c r="W37" s="113"/>
    </row>
    <row r="38" spans="1:25" x14ac:dyDescent="0.2">
      <c r="A38" s="46" t="s">
        <v>443</v>
      </c>
      <c r="B38" s="81">
        <v>324</v>
      </c>
      <c r="C38" s="81" t="s">
        <v>234</v>
      </c>
      <c r="D38" s="146">
        <v>35850</v>
      </c>
      <c r="E38" s="81" t="s">
        <v>214</v>
      </c>
      <c r="F38" s="61">
        <f>IF(ISNA(VLOOKUP($A38,'2 Bridges Relay'!$F$2:$F$67,1,FALSE)),0,VLOOKUP($A38,'2 Bridges Relay'!$F$2:$J$67,5,FALSE))</f>
        <v>0</v>
      </c>
      <c r="G38" s="88">
        <f>IF(ISNA(VLOOKUP($A38,'5M''s'!$D$2:$E$27,1,FALSE)),0,VLOOKUP($A38,'5M''s'!$D$2:$E$27,2,FALSE))</f>
        <v>0</v>
      </c>
      <c r="H38" s="62">
        <f>IF(ISNA(VLOOKUP($A38,'Mile handicap'!$C$2:$C$51,1,FALSE)),0,VLOOKUP($A38,'Mile handicap'!$C$2:$K$51,9,FALSE))</f>
        <v>0</v>
      </c>
      <c r="I38" s="62">
        <f>IF(ISNA(VLOOKUP($A38,'5000m handicap'!$C$2:$C$46,1,FALSE)),0,VLOOKUP($A38,'5000m handicap'!$C$2:$K$46,9,FALSE))</f>
        <v>0</v>
      </c>
      <c r="J38" s="62">
        <f>IF(ISNA(VLOOKUP($A38,'KL handicap'!$C$2:$C$37,1,FALSE)),0,VLOOKUP($A38,'KL handicap'!$C$2:$I$37,7,FALSE))</f>
        <v>0</v>
      </c>
      <c r="K38" s="62">
        <f>IF(ISNA(VLOOKUP($A38,'3000m handicap'!$C$2:$C$47,1,FALSE)),0,VLOOKUP($A38,'3000m handicap'!$C$2:$K$47,9,FALSE))</f>
        <v>0</v>
      </c>
      <c r="L38" s="62">
        <f>IF(ISNA(VLOOKUP($A38,'10 km'!$B$2:$B$50,1,FALSE)),0,VLOOKUP($A38,'10 km'!$B$2:$D$50,3,FALSE))</f>
        <v>0</v>
      </c>
      <c r="M38" s="62">
        <f>IF(ISNA(VLOOKUP($A38,'Peter Moor 2000m'!$C$2:$C$30,1,FALSE)),0,VLOOKUP($A38,'Peter Moor 2000m'!$C$2:$I$30,7,FALSE))</f>
        <v>0</v>
      </c>
      <c r="N38" s="62">
        <f>IF(ISNA(VLOOKUP($A38,'Max Howard Tan handicap'!$C$2:$C$21,1,FALSE)),0,VLOOKUP($A38,'Max Howard Tan handicap'!$C$2:$I$21,7,FALSE))</f>
        <v>0</v>
      </c>
      <c r="O38" s="88">
        <f>IF(ISNA(VLOOKUP($A38,parkrun!$B$2:$H$145,1,FALSE)),0,VLOOKUP($A38,parkrun!$B$2:$H$145,7,FALSE))</f>
        <v>0</v>
      </c>
      <c r="P38" s="133">
        <f t="shared" si="9"/>
        <v>0</v>
      </c>
      <c r="Q38" s="134">
        <f t="shared" si="10"/>
        <v>0</v>
      </c>
      <c r="R38" s="64">
        <f t="shared" si="11"/>
        <v>0</v>
      </c>
      <c r="S38" s="64">
        <f t="shared" si="12"/>
        <v>0</v>
      </c>
      <c r="T38" s="25">
        <f t="shared" si="13"/>
        <v>29</v>
      </c>
      <c r="U38" s="26">
        <f t="shared" si="14"/>
        <v>29</v>
      </c>
      <c r="W38" s="113"/>
    </row>
    <row r="39" spans="1:25" x14ac:dyDescent="0.2">
      <c r="A39" s="46" t="s">
        <v>367</v>
      </c>
      <c r="B39" s="81">
        <v>292</v>
      </c>
      <c r="C39" s="81" t="s">
        <v>234</v>
      </c>
      <c r="D39" s="146">
        <v>30192</v>
      </c>
      <c r="E39" s="81" t="s">
        <v>214</v>
      </c>
      <c r="F39" s="61">
        <f>IF(ISNA(VLOOKUP($A39,'2 Bridges Relay'!$F$2:$F$67,1,FALSE)),0,VLOOKUP($A39,'2 Bridges Relay'!$F$2:$J$67,5,FALSE))</f>
        <v>0</v>
      </c>
      <c r="G39" s="88">
        <f>IF(ISNA(VLOOKUP($A39,'5M''s'!$D$2:$E$27,1,FALSE)),0,VLOOKUP($A39,'5M''s'!$D$2:$E$27,2,FALSE))</f>
        <v>0</v>
      </c>
      <c r="H39" s="62">
        <f>IF(ISNA(VLOOKUP($A39,'Mile handicap'!$C$2:$C$51,1,FALSE)),0,VLOOKUP($A39,'Mile handicap'!$C$2:$K$51,9,FALSE))</f>
        <v>0</v>
      </c>
      <c r="I39" s="62">
        <f>IF(ISNA(VLOOKUP($A39,'5000m handicap'!$C$2:$C$46,1,FALSE)),0,VLOOKUP($A39,'5000m handicap'!$C$2:$K$46,9,FALSE))</f>
        <v>0</v>
      </c>
      <c r="J39" s="62">
        <f>IF(ISNA(VLOOKUP($A39,'KL handicap'!$C$2:$C$37,1,FALSE)),0,VLOOKUP($A39,'KL handicap'!$C$2:$I$37,7,FALSE))</f>
        <v>0</v>
      </c>
      <c r="K39" s="62">
        <f>IF(ISNA(VLOOKUP($A39,'3000m handicap'!$C$2:$C$47,1,FALSE)),0,VLOOKUP($A39,'3000m handicap'!$C$2:$K$47,9,FALSE))</f>
        <v>0</v>
      </c>
      <c r="L39" s="62">
        <f>IF(ISNA(VLOOKUP($A39,'10 km'!$B$2:$B$50,1,FALSE)),0,VLOOKUP($A39,'10 km'!$B$2:$D$50,3,FALSE))</f>
        <v>0</v>
      </c>
      <c r="M39" s="62">
        <f>IF(ISNA(VLOOKUP($A39,'Peter Moor 2000m'!$C$2:$C$30,1,FALSE)),0,VLOOKUP($A39,'Peter Moor 2000m'!$C$2:$I$30,7,FALSE))</f>
        <v>0</v>
      </c>
      <c r="N39" s="62">
        <f>IF(ISNA(VLOOKUP($A39,'Max Howard Tan handicap'!$C$2:$C$21,1,FALSE)),0,VLOOKUP($A39,'Max Howard Tan handicap'!$C$2:$I$21,7,FALSE))</f>
        <v>0</v>
      </c>
      <c r="O39" s="88">
        <f>IF(ISNA(VLOOKUP($A39,parkrun!$B$2:$H$145,1,FALSE)),0,VLOOKUP($A39,parkrun!$B$2:$H$145,7,FALSE))</f>
        <v>0</v>
      </c>
      <c r="P39" s="133">
        <f t="shared" si="9"/>
        <v>0</v>
      </c>
      <c r="Q39" s="134">
        <f t="shared" si="10"/>
        <v>0</v>
      </c>
      <c r="R39" s="64">
        <f t="shared" si="11"/>
        <v>0</v>
      </c>
      <c r="S39" s="64">
        <f t="shared" si="12"/>
        <v>0</v>
      </c>
      <c r="T39" s="25">
        <f t="shared" si="13"/>
        <v>29</v>
      </c>
      <c r="U39" s="26">
        <f t="shared" si="14"/>
        <v>29</v>
      </c>
      <c r="W39" s="113"/>
    </row>
    <row r="40" spans="1:25" x14ac:dyDescent="0.2">
      <c r="A40" s="46" t="s">
        <v>444</v>
      </c>
      <c r="B40" s="81">
        <v>325</v>
      </c>
      <c r="C40" s="81" t="s">
        <v>234</v>
      </c>
      <c r="D40" s="146">
        <v>35675</v>
      </c>
      <c r="E40" s="81" t="s">
        <v>214</v>
      </c>
      <c r="F40" s="61">
        <f>IF(ISNA(VLOOKUP($A40,'2 Bridges Relay'!$F$2:$F$67,1,FALSE)),0,VLOOKUP($A40,'2 Bridges Relay'!$F$2:$J$67,5,FALSE))</f>
        <v>0</v>
      </c>
      <c r="G40" s="88">
        <f>IF(ISNA(VLOOKUP($A40,'5M''s'!$D$2:$E$27,1,FALSE)),0,VLOOKUP($A40,'5M''s'!$D$2:$E$27,2,FALSE))</f>
        <v>0</v>
      </c>
      <c r="H40" s="62">
        <f>IF(ISNA(VLOOKUP($A40,'Mile handicap'!$C$2:$C$51,1,FALSE)),0,VLOOKUP($A40,'Mile handicap'!$C$2:$K$51,9,FALSE))</f>
        <v>0</v>
      </c>
      <c r="I40" s="62">
        <f>IF(ISNA(VLOOKUP($A40,'5000m handicap'!$C$2:$C$46,1,FALSE)),0,VLOOKUP($A40,'5000m handicap'!$C$2:$K$46,9,FALSE))</f>
        <v>0</v>
      </c>
      <c r="J40" s="62">
        <f>IF(ISNA(VLOOKUP($A40,'KL handicap'!$C$2:$C$37,1,FALSE)),0,VLOOKUP($A40,'KL handicap'!$C$2:$I$37,7,FALSE))</f>
        <v>0</v>
      </c>
      <c r="K40" s="62">
        <f>IF(ISNA(VLOOKUP($A40,'3000m handicap'!$C$2:$C$47,1,FALSE)),0,VLOOKUP($A40,'3000m handicap'!$C$2:$K$47,9,FALSE))</f>
        <v>0</v>
      </c>
      <c r="L40" s="62">
        <f>IF(ISNA(VLOOKUP($A40,'10 km'!$B$2:$B$50,1,FALSE)),0,VLOOKUP($A40,'10 km'!$B$2:$D$50,3,FALSE))</f>
        <v>0</v>
      </c>
      <c r="M40" s="62">
        <f>IF(ISNA(VLOOKUP($A40,'Peter Moor 2000m'!$C$2:$C$30,1,FALSE)),0,VLOOKUP($A40,'Peter Moor 2000m'!$C$2:$I$30,7,FALSE))</f>
        <v>0</v>
      </c>
      <c r="N40" s="62">
        <f>IF(ISNA(VLOOKUP($A40,'Max Howard Tan handicap'!$C$2:$C$21,1,FALSE)),0,VLOOKUP($A40,'Max Howard Tan handicap'!$C$2:$I$21,7,FALSE))</f>
        <v>0</v>
      </c>
      <c r="O40" s="88">
        <f>IF(ISNA(VLOOKUP($A40,parkrun!$B$2:$H$145,1,FALSE)),0,VLOOKUP($A40,parkrun!$B$2:$H$145,7,FALSE))</f>
        <v>0</v>
      </c>
      <c r="P40" s="133">
        <f t="shared" si="9"/>
        <v>0</v>
      </c>
      <c r="Q40" s="134">
        <f t="shared" si="10"/>
        <v>0</v>
      </c>
      <c r="R40" s="64">
        <f t="shared" si="11"/>
        <v>0</v>
      </c>
      <c r="S40" s="64">
        <f t="shared" si="12"/>
        <v>0</v>
      </c>
      <c r="T40" s="25">
        <f t="shared" si="13"/>
        <v>29</v>
      </c>
      <c r="U40" s="26">
        <f t="shared" si="14"/>
        <v>29</v>
      </c>
      <c r="W40" s="113"/>
    </row>
    <row r="41" spans="1:25" x14ac:dyDescent="0.2">
      <c r="A41" s="46" t="s">
        <v>405</v>
      </c>
      <c r="B41" s="81">
        <v>157</v>
      </c>
      <c r="C41" s="81" t="s">
        <v>234</v>
      </c>
      <c r="D41" s="146">
        <v>29356</v>
      </c>
      <c r="E41" s="81" t="s">
        <v>214</v>
      </c>
      <c r="F41" s="61">
        <f>IF(ISNA(VLOOKUP($A41,'2 Bridges Relay'!$F$2:$F$67,1,FALSE)),0,VLOOKUP($A41,'2 Bridges Relay'!$F$2:$J$67,5,FALSE))</f>
        <v>0</v>
      </c>
      <c r="G41" s="88">
        <f>IF(ISNA(VLOOKUP($A41,'5M''s'!$D$2:$E$27,1,FALSE)),0,VLOOKUP($A41,'5M''s'!$D$2:$E$27,2,FALSE))</f>
        <v>0</v>
      </c>
      <c r="H41" s="62">
        <f>IF(ISNA(VLOOKUP($A41,'Mile handicap'!$C$2:$C$51,1,FALSE)),0,VLOOKUP($A41,'Mile handicap'!$C$2:$K$51,9,FALSE))</f>
        <v>0</v>
      </c>
      <c r="I41" s="62">
        <f>IF(ISNA(VLOOKUP($A41,'5000m handicap'!$C$2:$C$46,1,FALSE)),0,VLOOKUP($A41,'5000m handicap'!$C$2:$K$46,9,FALSE))</f>
        <v>0</v>
      </c>
      <c r="J41" s="62">
        <f>IF(ISNA(VLOOKUP($A41,'KL handicap'!$C$2:$C$37,1,FALSE)),0,VLOOKUP($A41,'KL handicap'!$C$2:$I$37,7,FALSE))</f>
        <v>0</v>
      </c>
      <c r="K41" s="62">
        <f>IF(ISNA(VLOOKUP($A41,'3000m handicap'!$C$2:$C$47,1,FALSE)),0,VLOOKUP($A41,'3000m handicap'!$C$2:$K$47,9,FALSE))</f>
        <v>0</v>
      </c>
      <c r="L41" s="62">
        <f>IF(ISNA(VLOOKUP($A41,'10 km'!$B$2:$B$50,1,FALSE)),0,VLOOKUP($A41,'10 km'!$B$2:$D$50,3,FALSE))</f>
        <v>0</v>
      </c>
      <c r="M41" s="62">
        <f>IF(ISNA(VLOOKUP($A41,'Peter Moor 2000m'!$C$2:$C$30,1,FALSE)),0,VLOOKUP($A41,'Peter Moor 2000m'!$C$2:$I$30,7,FALSE))</f>
        <v>0</v>
      </c>
      <c r="N41" s="62">
        <f>IF(ISNA(VLOOKUP($A41,'Max Howard Tan handicap'!$C$2:$C$21,1,FALSE)),0,VLOOKUP($A41,'Max Howard Tan handicap'!$C$2:$I$21,7,FALSE))</f>
        <v>0</v>
      </c>
      <c r="O41" s="88">
        <f>IF(ISNA(VLOOKUP($A41,parkrun!$B$2:$H$145,1,FALSE)),0,VLOOKUP($A41,parkrun!$B$2:$H$145,7,FALSE))</f>
        <v>0</v>
      </c>
      <c r="P41" s="133">
        <f t="shared" si="9"/>
        <v>0</v>
      </c>
      <c r="Q41" s="134">
        <f t="shared" si="10"/>
        <v>0</v>
      </c>
      <c r="R41" s="64">
        <f t="shared" si="11"/>
        <v>0</v>
      </c>
      <c r="S41" s="64">
        <f t="shared" si="12"/>
        <v>0</v>
      </c>
      <c r="T41" s="25">
        <f t="shared" si="13"/>
        <v>29</v>
      </c>
      <c r="U41" s="26">
        <f t="shared" si="14"/>
        <v>29</v>
      </c>
      <c r="W41" s="113"/>
    </row>
    <row r="42" spans="1:25" x14ac:dyDescent="0.2">
      <c r="A42" s="46" t="s">
        <v>438</v>
      </c>
      <c r="B42" s="81">
        <v>252</v>
      </c>
      <c r="C42" s="81" t="s">
        <v>234</v>
      </c>
      <c r="D42" s="146">
        <v>29208</v>
      </c>
      <c r="E42" s="81" t="s">
        <v>214</v>
      </c>
      <c r="F42" s="61">
        <f>IF(ISNA(VLOOKUP($A42,'2 Bridges Relay'!$F$2:$F$67,1,FALSE)),0,VLOOKUP($A42,'2 Bridges Relay'!$F$2:$J$67,5,FALSE))</f>
        <v>0</v>
      </c>
      <c r="G42" s="88">
        <f>IF(ISNA(VLOOKUP($A42,'5M''s'!$D$2:$E$27,1,FALSE)),0,VLOOKUP($A42,'5M''s'!$D$2:$E$27,2,FALSE))</f>
        <v>0</v>
      </c>
      <c r="H42" s="62">
        <f>IF(ISNA(VLOOKUP($A42,'Mile handicap'!$C$2:$C$51,1,FALSE)),0,VLOOKUP($A42,'Mile handicap'!$C$2:$K$51,9,FALSE))</f>
        <v>0</v>
      </c>
      <c r="I42" s="62">
        <f>IF(ISNA(VLOOKUP($A42,'5000m handicap'!$C$2:$C$46,1,FALSE)),0,VLOOKUP($A42,'5000m handicap'!$C$2:$K$46,9,FALSE))</f>
        <v>0</v>
      </c>
      <c r="J42" s="62">
        <f>IF(ISNA(VLOOKUP($A42,'KL handicap'!$C$2:$C$37,1,FALSE)),0,VLOOKUP($A42,'KL handicap'!$C$2:$I$37,7,FALSE))</f>
        <v>0</v>
      </c>
      <c r="K42" s="62">
        <f>IF(ISNA(VLOOKUP($A42,'3000m handicap'!$C$2:$C$47,1,FALSE)),0,VLOOKUP($A42,'3000m handicap'!$C$2:$K$47,9,FALSE))</f>
        <v>0</v>
      </c>
      <c r="L42" s="62">
        <f>IF(ISNA(VLOOKUP($A42,'10 km'!$B$2:$B$50,1,FALSE)),0,VLOOKUP($A42,'10 km'!$B$2:$D$50,3,FALSE))</f>
        <v>0</v>
      </c>
      <c r="M42" s="62">
        <f>IF(ISNA(VLOOKUP($A42,'Peter Moor 2000m'!$C$2:$C$30,1,FALSE)),0,VLOOKUP($A42,'Peter Moor 2000m'!$C$2:$I$30,7,FALSE))</f>
        <v>0</v>
      </c>
      <c r="N42" s="62">
        <f>IF(ISNA(VLOOKUP($A42,'Max Howard Tan handicap'!$C$2:$C$21,1,FALSE)),0,VLOOKUP($A42,'Max Howard Tan handicap'!$C$2:$I$21,7,FALSE))</f>
        <v>0</v>
      </c>
      <c r="O42" s="88">
        <f>IF(ISNA(VLOOKUP($A42,parkrun!$B$2:$H$145,1,FALSE)),0,VLOOKUP($A42,parkrun!$B$2:$H$145,7,FALSE))</f>
        <v>0</v>
      </c>
      <c r="P42" s="133">
        <f t="shared" si="9"/>
        <v>0</v>
      </c>
      <c r="Q42" s="134">
        <f t="shared" si="10"/>
        <v>0</v>
      </c>
      <c r="R42" s="64">
        <f t="shared" si="11"/>
        <v>0</v>
      </c>
      <c r="S42" s="64">
        <f t="shared" si="12"/>
        <v>0</v>
      </c>
      <c r="T42" s="25">
        <f t="shared" si="13"/>
        <v>29</v>
      </c>
      <c r="U42" s="26">
        <f t="shared" si="14"/>
        <v>29</v>
      </c>
      <c r="W42" s="113">
        <v>28156</v>
      </c>
    </row>
    <row r="43" spans="1:25" x14ac:dyDescent="0.2">
      <c r="A43" s="46" t="s">
        <v>261</v>
      </c>
      <c r="B43" s="81">
        <v>239</v>
      </c>
      <c r="C43" s="81" t="s">
        <v>234</v>
      </c>
      <c r="D43" s="146">
        <v>25504</v>
      </c>
      <c r="E43" s="81" t="s">
        <v>214</v>
      </c>
      <c r="F43" s="61">
        <f>IF(ISNA(VLOOKUP($A43,'2 Bridges Relay'!$F$2:$F$67,1,FALSE)),0,VLOOKUP($A43,'2 Bridges Relay'!$F$2:$J$67,5,FALSE))</f>
        <v>0</v>
      </c>
      <c r="G43" s="88">
        <f>IF(ISNA(VLOOKUP($A43,'5M''s'!$D$2:$E$27,1,FALSE)),0,VLOOKUP($A43,'5M''s'!$D$2:$E$27,2,FALSE))</f>
        <v>0</v>
      </c>
      <c r="H43" s="62">
        <f>IF(ISNA(VLOOKUP($A43,'Mile handicap'!$C$2:$C$51,1,FALSE)),0,VLOOKUP($A43,'Mile handicap'!$C$2:$K$51,9,FALSE))</f>
        <v>0</v>
      </c>
      <c r="I43" s="62">
        <f>IF(ISNA(VLOOKUP($A43,'5000m handicap'!$C$2:$C$46,1,FALSE)),0,VLOOKUP($A43,'5000m handicap'!$C$2:$K$46,9,FALSE))</f>
        <v>0</v>
      </c>
      <c r="J43" s="62">
        <f>IF(ISNA(VLOOKUP($A43,'KL handicap'!$C$2:$C$37,1,FALSE)),0,VLOOKUP($A43,'KL handicap'!$C$2:$I$37,7,FALSE))</f>
        <v>0</v>
      </c>
      <c r="K43" s="62">
        <f>IF(ISNA(VLOOKUP($A43,'3000m handicap'!$C$2:$C$47,1,FALSE)),0,VLOOKUP($A43,'3000m handicap'!$C$2:$K$47,9,FALSE))</f>
        <v>0</v>
      </c>
      <c r="L43" s="62">
        <f>IF(ISNA(VLOOKUP($A43,'10 km'!$B$2:$B$50,1,FALSE)),0,VLOOKUP($A43,'10 km'!$B$2:$D$50,3,FALSE))</f>
        <v>0</v>
      </c>
      <c r="M43" s="62">
        <f>IF(ISNA(VLOOKUP($A43,'Peter Moor 2000m'!$C$2:$C$30,1,FALSE)),0,VLOOKUP($A43,'Peter Moor 2000m'!$C$2:$I$30,7,FALSE))</f>
        <v>0</v>
      </c>
      <c r="N43" s="62">
        <f>IF(ISNA(VLOOKUP($A43,'Max Howard Tan handicap'!$C$2:$C$21,1,FALSE)),0,VLOOKUP($A43,'Max Howard Tan handicap'!$C$2:$I$21,7,FALSE))</f>
        <v>0</v>
      </c>
      <c r="O43" s="88">
        <f>IF(ISNA(VLOOKUP($A43,parkrun!$B$2:$H$145,1,FALSE)),0,VLOOKUP($A43,parkrun!$B$2:$H$145,7,FALSE))</f>
        <v>0</v>
      </c>
      <c r="P43" s="133">
        <f t="shared" si="9"/>
        <v>0</v>
      </c>
      <c r="Q43" s="134">
        <f t="shared" si="10"/>
        <v>0</v>
      </c>
      <c r="R43" s="64">
        <f t="shared" si="11"/>
        <v>0</v>
      </c>
      <c r="S43" s="64">
        <f t="shared" si="12"/>
        <v>0</v>
      </c>
      <c r="T43" s="25">
        <f t="shared" si="13"/>
        <v>29</v>
      </c>
      <c r="U43" s="26">
        <f t="shared" si="14"/>
        <v>29</v>
      </c>
    </row>
    <row r="44" spans="1:25" x14ac:dyDescent="0.2">
      <c r="A44" s="46" t="s">
        <v>406</v>
      </c>
      <c r="B44" s="81">
        <v>309</v>
      </c>
      <c r="C44" s="82" t="s">
        <v>234</v>
      </c>
      <c r="D44" s="146">
        <v>30996</v>
      </c>
      <c r="E44" s="81" t="s">
        <v>214</v>
      </c>
      <c r="F44" s="61">
        <f>IF(ISNA(VLOOKUP($A44,'2 Bridges Relay'!$F$2:$F$67,1,FALSE)),0,VLOOKUP($A44,'2 Bridges Relay'!$F$2:$J$67,5,FALSE))</f>
        <v>0</v>
      </c>
      <c r="G44" s="88">
        <f>IF(ISNA(VLOOKUP($A44,'5M''s'!$D$2:$E$27,1,FALSE)),0,VLOOKUP($A44,'5M''s'!$D$2:$E$27,2,FALSE))</f>
        <v>0</v>
      </c>
      <c r="H44" s="62">
        <f>IF(ISNA(VLOOKUP($A44,'Mile handicap'!$C$2:$C$51,1,FALSE)),0,VLOOKUP($A44,'Mile handicap'!$C$2:$K$51,9,FALSE))</f>
        <v>0</v>
      </c>
      <c r="I44" s="62">
        <f>IF(ISNA(VLOOKUP($A44,'5000m handicap'!$C$2:$C$46,1,FALSE)),0,VLOOKUP($A44,'5000m handicap'!$C$2:$K$46,9,FALSE))</f>
        <v>0</v>
      </c>
      <c r="J44" s="62">
        <f>IF(ISNA(VLOOKUP($A44,'KL handicap'!$C$2:$C$37,1,FALSE)),0,VLOOKUP($A44,'KL handicap'!$C$2:$I$37,7,FALSE))</f>
        <v>0</v>
      </c>
      <c r="K44" s="62">
        <f>IF(ISNA(VLOOKUP($A44,'3000m handicap'!$C$2:$C$47,1,FALSE)),0,VLOOKUP($A44,'3000m handicap'!$C$2:$K$47,9,FALSE))</f>
        <v>0</v>
      </c>
      <c r="L44" s="62">
        <f>IF(ISNA(VLOOKUP($A44,'10 km'!$B$2:$B$50,1,FALSE)),0,VLOOKUP($A44,'10 km'!$B$2:$D$50,3,FALSE))</f>
        <v>0</v>
      </c>
      <c r="M44" s="62">
        <f>IF(ISNA(VLOOKUP($A44,'Peter Moor 2000m'!$C$2:$C$30,1,FALSE)),0,VLOOKUP($A44,'Peter Moor 2000m'!$C$2:$I$30,7,FALSE))</f>
        <v>0</v>
      </c>
      <c r="N44" s="62">
        <f>IF(ISNA(VLOOKUP($A44,'Max Howard Tan handicap'!$C$2:$C$21,1,FALSE)),0,VLOOKUP($A44,'Max Howard Tan handicap'!$C$2:$I$21,7,FALSE))</f>
        <v>0</v>
      </c>
      <c r="O44" s="88">
        <f>IF(ISNA(VLOOKUP($A44,parkrun!$B$2:$H$145,1,FALSE)),0,VLOOKUP($A44,parkrun!$B$2:$H$145,7,FALSE))</f>
        <v>0</v>
      </c>
      <c r="P44" s="133">
        <f t="shared" si="9"/>
        <v>0</v>
      </c>
      <c r="Q44" s="134">
        <f t="shared" si="10"/>
        <v>0</v>
      </c>
      <c r="R44" s="64">
        <f t="shared" si="11"/>
        <v>0</v>
      </c>
      <c r="S44" s="64">
        <f t="shared" si="12"/>
        <v>0</v>
      </c>
      <c r="T44" s="25">
        <f t="shared" si="13"/>
        <v>29</v>
      </c>
      <c r="U44" s="26">
        <f t="shared" si="14"/>
        <v>29</v>
      </c>
    </row>
    <row r="45" spans="1:25" x14ac:dyDescent="0.2">
      <c r="A45" s="46" t="s">
        <v>95</v>
      </c>
      <c r="B45" s="81">
        <v>64</v>
      </c>
      <c r="C45" s="82" t="s">
        <v>234</v>
      </c>
      <c r="D45" s="146">
        <v>25523</v>
      </c>
      <c r="E45" s="81" t="s">
        <v>214</v>
      </c>
      <c r="F45" s="61">
        <f>IF(ISNA(VLOOKUP($A45,'2 Bridges Relay'!$F$2:$F$67,1,FALSE)),0,VLOOKUP($A45,'2 Bridges Relay'!$F$2:$J$67,5,FALSE))</f>
        <v>0</v>
      </c>
      <c r="G45" s="88">
        <f>IF(ISNA(VLOOKUP($A45,'5M''s'!$D$2:$E$27,1,FALSE)),0,VLOOKUP($A45,'5M''s'!$D$2:$E$27,2,FALSE))</f>
        <v>0</v>
      </c>
      <c r="H45" s="62">
        <f>IF(ISNA(VLOOKUP($A45,'Mile handicap'!$C$2:$C$51,1,FALSE)),0,VLOOKUP($A45,'Mile handicap'!$C$2:$K$51,9,FALSE))</f>
        <v>0</v>
      </c>
      <c r="I45" s="62">
        <f>IF(ISNA(VLOOKUP($A45,'5000m handicap'!$C$2:$C$46,1,FALSE)),0,VLOOKUP($A45,'5000m handicap'!$C$2:$K$46,9,FALSE))</f>
        <v>0</v>
      </c>
      <c r="J45" s="62">
        <f>IF(ISNA(VLOOKUP($A45,'KL handicap'!$C$2:$C$37,1,FALSE)),0,VLOOKUP($A45,'KL handicap'!$C$2:$I$37,7,FALSE))</f>
        <v>0</v>
      </c>
      <c r="K45" s="62">
        <f>IF(ISNA(VLOOKUP($A45,'3000m handicap'!$C$2:$C$47,1,FALSE)),0,VLOOKUP($A45,'3000m handicap'!$C$2:$K$47,9,FALSE))</f>
        <v>0</v>
      </c>
      <c r="L45" s="62">
        <f>IF(ISNA(VLOOKUP($A45,'10 km'!$B$2:$B$50,1,FALSE)),0,VLOOKUP($A45,'10 km'!$B$2:$D$50,3,FALSE))</f>
        <v>0</v>
      </c>
      <c r="M45" s="62">
        <f>IF(ISNA(VLOOKUP($A45,'Peter Moor 2000m'!$C$2:$C$30,1,FALSE)),0,VLOOKUP($A45,'Peter Moor 2000m'!$C$2:$I$30,7,FALSE))</f>
        <v>0</v>
      </c>
      <c r="N45" s="62">
        <f>IF(ISNA(VLOOKUP($A45,'Max Howard Tan handicap'!$C$2:$C$21,1,FALSE)),0,VLOOKUP($A45,'Max Howard Tan handicap'!$C$2:$I$21,7,FALSE))</f>
        <v>0</v>
      </c>
      <c r="O45" s="88">
        <f>IF(ISNA(VLOOKUP($A45,parkrun!$B$2:$H$145,1,FALSE)),0,VLOOKUP($A45,parkrun!$B$2:$H$145,7,FALSE))</f>
        <v>0</v>
      </c>
      <c r="P45" s="133">
        <f t="shared" si="9"/>
        <v>0</v>
      </c>
      <c r="Q45" s="134">
        <f t="shared" si="10"/>
        <v>0</v>
      </c>
      <c r="R45" s="64">
        <f t="shared" si="11"/>
        <v>0</v>
      </c>
      <c r="S45" s="64">
        <f t="shared" si="12"/>
        <v>0</v>
      </c>
      <c r="T45" s="25">
        <f t="shared" si="13"/>
        <v>29</v>
      </c>
      <c r="U45" s="26">
        <f t="shared" si="14"/>
        <v>29</v>
      </c>
    </row>
    <row r="46" spans="1:25" x14ac:dyDescent="0.2">
      <c r="A46" s="46" t="s">
        <v>171</v>
      </c>
      <c r="B46" s="81">
        <v>185</v>
      </c>
      <c r="C46" s="82" t="s">
        <v>234</v>
      </c>
      <c r="D46" s="146">
        <v>27113</v>
      </c>
      <c r="E46" s="81" t="s">
        <v>214</v>
      </c>
      <c r="F46" s="61">
        <f>IF(ISNA(VLOOKUP($A46,'2 Bridges Relay'!$F$2:$F$67,1,FALSE)),0,VLOOKUP($A46,'2 Bridges Relay'!$F$2:$J$67,5,FALSE))</f>
        <v>0</v>
      </c>
      <c r="G46" s="88">
        <f>IF(ISNA(VLOOKUP($A46,'5M''s'!$D$2:$E$27,1,FALSE)),0,VLOOKUP($A46,'5M''s'!$D$2:$E$27,2,FALSE))</f>
        <v>0</v>
      </c>
      <c r="H46" s="62">
        <f>IF(ISNA(VLOOKUP($A46,'Mile handicap'!$C$2:$C$51,1,FALSE)),0,VLOOKUP($A46,'Mile handicap'!$C$2:$K$51,9,FALSE))</f>
        <v>0</v>
      </c>
      <c r="I46" s="62">
        <f>IF(ISNA(VLOOKUP($A46,'5000m handicap'!$C$2:$C$46,1,FALSE)),0,VLOOKUP($A46,'5000m handicap'!$C$2:$K$46,9,FALSE))</f>
        <v>0</v>
      </c>
      <c r="J46" s="62">
        <f>IF(ISNA(VLOOKUP($A46,'KL handicap'!$C$2:$C$37,1,FALSE)),0,VLOOKUP($A46,'KL handicap'!$C$2:$I$37,7,FALSE))</f>
        <v>0</v>
      </c>
      <c r="K46" s="62">
        <f>IF(ISNA(VLOOKUP($A46,'3000m handicap'!$C$2:$C$47,1,FALSE)),0,VLOOKUP($A46,'3000m handicap'!$C$2:$K$47,9,FALSE))</f>
        <v>0</v>
      </c>
      <c r="L46" s="62">
        <f>IF(ISNA(VLOOKUP($A46,'10 km'!$B$2:$B$50,1,FALSE)),0,VLOOKUP($A46,'10 km'!$B$2:$D$50,3,FALSE))</f>
        <v>0</v>
      </c>
      <c r="M46" s="62">
        <f>IF(ISNA(VLOOKUP($A46,'Peter Moor 2000m'!$C$2:$C$30,1,FALSE)),0,VLOOKUP($A46,'Peter Moor 2000m'!$C$2:$I$30,7,FALSE))</f>
        <v>0</v>
      </c>
      <c r="N46" s="62">
        <f>IF(ISNA(VLOOKUP($A46,'Max Howard Tan handicap'!$C$2:$C$21,1,FALSE)),0,VLOOKUP($A46,'Max Howard Tan handicap'!$C$2:$I$21,7,FALSE))</f>
        <v>0</v>
      </c>
      <c r="O46" s="88">
        <f>IF(ISNA(VLOOKUP($A46,parkrun!$B$2:$H$145,1,FALSE)),0,VLOOKUP($A46,parkrun!$B$2:$H$145,7,FALSE))</f>
        <v>0</v>
      </c>
      <c r="P46" s="133">
        <f t="shared" si="9"/>
        <v>0</v>
      </c>
      <c r="Q46" s="134">
        <f t="shared" si="10"/>
        <v>0</v>
      </c>
      <c r="R46" s="64">
        <f t="shared" si="11"/>
        <v>0</v>
      </c>
      <c r="S46" s="64">
        <f t="shared" si="12"/>
        <v>0</v>
      </c>
      <c r="T46" s="25">
        <f t="shared" si="13"/>
        <v>29</v>
      </c>
      <c r="U46" s="26">
        <f t="shared" si="14"/>
        <v>29</v>
      </c>
    </row>
    <row r="47" spans="1:25" x14ac:dyDescent="0.2">
      <c r="A47" s="46" t="s">
        <v>673</v>
      </c>
      <c r="B47" s="81">
        <v>337</v>
      </c>
      <c r="C47" s="82" t="s">
        <v>234</v>
      </c>
      <c r="D47" s="146">
        <v>23380</v>
      </c>
      <c r="E47" s="81" t="s">
        <v>196</v>
      </c>
      <c r="F47" s="61">
        <f>IF(ISNA(VLOOKUP($A47,'2 Bridges Relay'!$F$2:$F$67,1,FALSE)),0,VLOOKUP($A47,'2 Bridges Relay'!$F$2:$J$67,5,FALSE))</f>
        <v>0</v>
      </c>
      <c r="G47" s="88">
        <f>IF(ISNA(VLOOKUP($A47,'5M''s'!$D$2:$E$27,1,FALSE)),0,VLOOKUP($A47,'5M''s'!$D$2:$E$27,2,FALSE))</f>
        <v>0</v>
      </c>
      <c r="H47" s="62">
        <f>IF(ISNA(VLOOKUP($A47,'Mile handicap'!$C$2:$C$51,1,FALSE)),0,VLOOKUP($A47,'Mile handicap'!$C$2:$K$51,9,FALSE))</f>
        <v>0</v>
      </c>
      <c r="I47" s="62">
        <f>IF(ISNA(VLOOKUP($A47,'5000m handicap'!$C$2:$C$46,1,FALSE)),0,VLOOKUP($A47,'5000m handicap'!$C$2:$K$46,9,FALSE))</f>
        <v>0</v>
      </c>
      <c r="J47" s="62">
        <f>IF(ISNA(VLOOKUP($A47,'KL handicap'!$C$2:$C$37,1,FALSE)),0,VLOOKUP($A47,'KL handicap'!$C$2:$I$37,7,FALSE))</f>
        <v>0</v>
      </c>
      <c r="K47" s="62">
        <f>IF(ISNA(VLOOKUP($A47,'3000m handicap'!$C$2:$C$47,1,FALSE)),0,VLOOKUP($A47,'3000m handicap'!$C$2:$K$47,9,FALSE))</f>
        <v>0</v>
      </c>
      <c r="L47" s="62">
        <f>IF(ISNA(VLOOKUP($A47,'10 km'!$B$2:$B$50,1,FALSE)),0,VLOOKUP($A47,'10 km'!$B$2:$D$50,3,FALSE))</f>
        <v>0</v>
      </c>
      <c r="M47" s="62">
        <f>IF(ISNA(VLOOKUP($A47,'Peter Moor 2000m'!$C$2:$C$30,1,FALSE)),0,VLOOKUP($A47,'Peter Moor 2000m'!$C$2:$I$30,7,FALSE))</f>
        <v>0</v>
      </c>
      <c r="N47" s="62">
        <f>IF(ISNA(VLOOKUP($A47,'Max Howard Tan handicap'!$C$2:$C$21,1,FALSE)),0,VLOOKUP($A47,'Max Howard Tan handicap'!$C$2:$I$21,7,FALSE))</f>
        <v>0</v>
      </c>
      <c r="O47" s="88">
        <f>IF(ISNA(VLOOKUP($A47,parkrun!$B$2:$H$145,1,FALSE)),0,VLOOKUP($A47,parkrun!$B$2:$H$145,7,FALSE))</f>
        <v>0</v>
      </c>
      <c r="P47" s="133">
        <f t="shared" si="9"/>
        <v>0</v>
      </c>
      <c r="Q47" s="134">
        <f t="shared" si="10"/>
        <v>0</v>
      </c>
      <c r="R47" s="64">
        <f t="shared" si="11"/>
        <v>0</v>
      </c>
      <c r="S47" s="64">
        <f t="shared" si="12"/>
        <v>0</v>
      </c>
      <c r="T47" s="25">
        <f t="shared" si="13"/>
        <v>29</v>
      </c>
      <c r="U47" s="26">
        <f t="shared" si="14"/>
        <v>29</v>
      </c>
    </row>
    <row r="48" spans="1:25" x14ac:dyDescent="0.2">
      <c r="A48" s="46" t="s">
        <v>292</v>
      </c>
      <c r="B48" s="81">
        <v>264</v>
      </c>
      <c r="C48" s="82" t="s">
        <v>234</v>
      </c>
      <c r="D48" s="146">
        <v>32948</v>
      </c>
      <c r="E48" s="81" t="s">
        <v>214</v>
      </c>
      <c r="F48" s="61">
        <f>IF(ISNA(VLOOKUP($A48,'2 Bridges Relay'!$F$2:$F$67,1,FALSE)),0,VLOOKUP($A48,'2 Bridges Relay'!$F$2:$J$67,5,FALSE))</f>
        <v>0</v>
      </c>
      <c r="G48" s="88">
        <f>IF(ISNA(VLOOKUP($A48,'5M''s'!$D$2:$E$27,1,FALSE)),0,VLOOKUP($A48,'5M''s'!$D$2:$E$27,2,FALSE))</f>
        <v>0</v>
      </c>
      <c r="H48" s="62">
        <f>IF(ISNA(VLOOKUP($A48,'Mile handicap'!$C$2:$C$51,1,FALSE)),0,VLOOKUP($A48,'Mile handicap'!$C$2:$K$51,9,FALSE))</f>
        <v>0</v>
      </c>
      <c r="I48" s="62">
        <f>IF(ISNA(VLOOKUP($A48,'5000m handicap'!$C$2:$C$46,1,FALSE)),0,VLOOKUP($A48,'5000m handicap'!$C$2:$K$46,9,FALSE))</f>
        <v>0</v>
      </c>
      <c r="J48" s="62">
        <f>IF(ISNA(VLOOKUP($A48,'KL handicap'!$C$2:$C$37,1,FALSE)),0,VLOOKUP($A48,'KL handicap'!$C$2:$I$37,7,FALSE))</f>
        <v>0</v>
      </c>
      <c r="K48" s="62">
        <f>IF(ISNA(VLOOKUP($A48,'3000m handicap'!$C$2:$C$47,1,FALSE)),0,VLOOKUP($A48,'3000m handicap'!$C$2:$K$47,9,FALSE))</f>
        <v>0</v>
      </c>
      <c r="L48" s="62">
        <f>IF(ISNA(VLOOKUP($A48,'10 km'!$B$2:$B$50,1,FALSE)),0,VLOOKUP($A48,'10 km'!$B$2:$D$50,3,FALSE))</f>
        <v>0</v>
      </c>
      <c r="M48" s="62">
        <f>IF(ISNA(VLOOKUP($A48,'Peter Moor 2000m'!$C$2:$C$30,1,FALSE)),0,VLOOKUP($A48,'Peter Moor 2000m'!$C$2:$I$30,7,FALSE))</f>
        <v>0</v>
      </c>
      <c r="N48" s="62">
        <f>IF(ISNA(VLOOKUP($A48,'Max Howard Tan handicap'!$C$2:$C$21,1,FALSE)),0,VLOOKUP($A48,'Max Howard Tan handicap'!$C$2:$I$21,7,FALSE))</f>
        <v>0</v>
      </c>
      <c r="O48" s="88">
        <f>IF(ISNA(VLOOKUP($A48,parkrun!$B$2:$H$145,1,FALSE)),0,VLOOKUP($A48,parkrun!$B$2:$H$145,7,FALSE))</f>
        <v>0</v>
      </c>
      <c r="P48" s="133">
        <f t="shared" si="9"/>
        <v>0</v>
      </c>
      <c r="Q48" s="134">
        <f t="shared" si="10"/>
        <v>0</v>
      </c>
      <c r="R48" s="64">
        <f t="shared" si="11"/>
        <v>0</v>
      </c>
      <c r="S48" s="64">
        <f t="shared" si="12"/>
        <v>0</v>
      </c>
      <c r="T48" s="25">
        <f t="shared" si="13"/>
        <v>29</v>
      </c>
      <c r="U48" s="26">
        <f t="shared" si="14"/>
        <v>29</v>
      </c>
    </row>
    <row r="49" spans="1:21" x14ac:dyDescent="0.2">
      <c r="A49" s="46" t="s">
        <v>368</v>
      </c>
      <c r="B49" s="81">
        <v>121</v>
      </c>
      <c r="C49" s="82" t="s">
        <v>234</v>
      </c>
      <c r="D49" s="146">
        <v>27118</v>
      </c>
      <c r="E49" s="81" t="s">
        <v>214</v>
      </c>
      <c r="F49" s="61">
        <f>IF(ISNA(VLOOKUP($A49,'2 Bridges Relay'!$F$2:$F$67,1,FALSE)),0,VLOOKUP($A49,'2 Bridges Relay'!$F$2:$J$67,5,FALSE))</f>
        <v>0</v>
      </c>
      <c r="G49" s="88">
        <f>IF(ISNA(VLOOKUP($A49,'5M''s'!$D$2:$E$27,1,FALSE)),0,VLOOKUP($A49,'5M''s'!$D$2:$E$27,2,FALSE))</f>
        <v>0</v>
      </c>
      <c r="H49" s="62">
        <f>IF(ISNA(VLOOKUP($A49,'Mile handicap'!$C$2:$C$51,1,FALSE)),0,VLOOKUP($A49,'Mile handicap'!$C$2:$K$51,9,FALSE))</f>
        <v>0</v>
      </c>
      <c r="I49" s="62">
        <f>IF(ISNA(VLOOKUP($A49,'5000m handicap'!$C$2:$C$46,1,FALSE)),0,VLOOKUP($A49,'5000m handicap'!$C$2:$K$46,9,FALSE))</f>
        <v>0</v>
      </c>
      <c r="J49" s="62">
        <f>IF(ISNA(VLOOKUP($A49,'KL handicap'!$C$2:$C$37,1,FALSE)),0,VLOOKUP($A49,'KL handicap'!$C$2:$I$37,7,FALSE))</f>
        <v>0</v>
      </c>
      <c r="K49" s="62">
        <f>IF(ISNA(VLOOKUP($A49,'3000m handicap'!$C$2:$C$47,1,FALSE)),0,VLOOKUP($A49,'3000m handicap'!$C$2:$K$47,9,FALSE))</f>
        <v>0</v>
      </c>
      <c r="L49" s="62">
        <f>IF(ISNA(VLOOKUP($A49,'10 km'!$B$2:$B$50,1,FALSE)),0,VLOOKUP($A49,'10 km'!$B$2:$D$50,3,FALSE))</f>
        <v>0</v>
      </c>
      <c r="M49" s="62">
        <f>IF(ISNA(VLOOKUP($A49,'Peter Moor 2000m'!$C$2:$C$30,1,FALSE)),0,VLOOKUP($A49,'Peter Moor 2000m'!$C$2:$I$30,7,FALSE))</f>
        <v>0</v>
      </c>
      <c r="N49" s="62">
        <f>IF(ISNA(VLOOKUP($A49,'Max Howard Tan handicap'!$C$2:$C$21,1,FALSE)),0,VLOOKUP($A49,'Max Howard Tan handicap'!$C$2:$I$21,7,FALSE))</f>
        <v>0</v>
      </c>
      <c r="O49" s="88">
        <f>IF(ISNA(VLOOKUP($A49,parkrun!$B$2:$H$145,1,FALSE)),0,VLOOKUP($A49,parkrun!$B$2:$H$145,7,FALSE))</f>
        <v>0</v>
      </c>
      <c r="P49" s="133">
        <f t="shared" si="9"/>
        <v>0</v>
      </c>
      <c r="Q49" s="134">
        <f t="shared" si="10"/>
        <v>0</v>
      </c>
      <c r="R49" s="64">
        <f t="shared" si="11"/>
        <v>0</v>
      </c>
      <c r="S49" s="64">
        <f t="shared" si="12"/>
        <v>0</v>
      </c>
      <c r="T49" s="25">
        <f t="shared" si="13"/>
        <v>29</v>
      </c>
      <c r="U49" s="26">
        <f t="shared" si="14"/>
        <v>29</v>
      </c>
    </row>
    <row r="50" spans="1:21" x14ac:dyDescent="0.2">
      <c r="A50" s="46" t="s">
        <v>369</v>
      </c>
      <c r="B50" s="81">
        <v>297</v>
      </c>
      <c r="C50" s="82" t="s">
        <v>234</v>
      </c>
      <c r="D50" s="146">
        <v>26020</v>
      </c>
      <c r="E50" s="81" t="s">
        <v>214</v>
      </c>
      <c r="F50" s="61">
        <f>IF(ISNA(VLOOKUP($A50,'2 Bridges Relay'!$F$2:$F$67,1,FALSE)),0,VLOOKUP($A50,'2 Bridges Relay'!$F$2:$J$67,5,FALSE))</f>
        <v>0</v>
      </c>
      <c r="G50" s="88">
        <f>IF(ISNA(VLOOKUP($A50,'5M''s'!$D$2:$E$27,1,FALSE)),0,VLOOKUP($A50,'5M''s'!$D$2:$E$27,2,FALSE))</f>
        <v>0</v>
      </c>
      <c r="H50" s="62">
        <f>IF(ISNA(VLOOKUP($A50,'Mile handicap'!$C$2:$C$51,1,FALSE)),0,VLOOKUP($A50,'Mile handicap'!$C$2:$K$51,9,FALSE))</f>
        <v>0</v>
      </c>
      <c r="I50" s="62">
        <f>IF(ISNA(VLOOKUP($A50,'5000m handicap'!$C$2:$C$46,1,FALSE)),0,VLOOKUP($A50,'5000m handicap'!$C$2:$K$46,9,FALSE))</f>
        <v>0</v>
      </c>
      <c r="J50" s="62">
        <f>IF(ISNA(VLOOKUP($A50,'KL handicap'!$C$2:$C$37,1,FALSE)),0,VLOOKUP($A50,'KL handicap'!$C$2:$I$37,7,FALSE))</f>
        <v>0</v>
      </c>
      <c r="K50" s="62">
        <f>IF(ISNA(VLOOKUP($A50,'3000m handicap'!$C$2:$C$47,1,FALSE)),0,VLOOKUP($A50,'3000m handicap'!$C$2:$K$47,9,FALSE))</f>
        <v>0</v>
      </c>
      <c r="L50" s="62">
        <f>IF(ISNA(VLOOKUP($A50,'10 km'!$B$2:$B$50,1,FALSE)),0,VLOOKUP($A50,'10 km'!$B$2:$D$50,3,FALSE))</f>
        <v>0</v>
      </c>
      <c r="M50" s="62">
        <f>IF(ISNA(VLOOKUP($A50,'Peter Moor 2000m'!$C$2:$C$30,1,FALSE)),0,VLOOKUP($A50,'Peter Moor 2000m'!$C$2:$I$30,7,FALSE))</f>
        <v>0</v>
      </c>
      <c r="N50" s="62">
        <f>IF(ISNA(VLOOKUP($A50,'Max Howard Tan handicap'!$C$2:$C$21,1,FALSE)),0,VLOOKUP($A50,'Max Howard Tan handicap'!$C$2:$I$21,7,FALSE))</f>
        <v>0</v>
      </c>
      <c r="O50" s="88">
        <f>IF(ISNA(VLOOKUP($A50,parkrun!$B$2:$H$145,1,FALSE)),0,VLOOKUP($A50,parkrun!$B$2:$H$145,7,FALSE))</f>
        <v>0</v>
      </c>
      <c r="P50" s="133">
        <f t="shared" si="9"/>
        <v>0</v>
      </c>
      <c r="Q50" s="134">
        <f t="shared" si="10"/>
        <v>0</v>
      </c>
      <c r="R50" s="64">
        <f t="shared" si="11"/>
        <v>0</v>
      </c>
      <c r="S50" s="64">
        <f t="shared" si="12"/>
        <v>0</v>
      </c>
      <c r="T50" s="25">
        <f t="shared" si="13"/>
        <v>29</v>
      </c>
      <c r="U50" s="26">
        <f t="shared" si="14"/>
        <v>29</v>
      </c>
    </row>
    <row r="51" spans="1:21" x14ac:dyDescent="0.2">
      <c r="A51" s="46" t="s">
        <v>442</v>
      </c>
      <c r="B51" s="81">
        <v>323</v>
      </c>
      <c r="C51" s="82" t="s">
        <v>234</v>
      </c>
      <c r="D51" s="146">
        <v>31084</v>
      </c>
      <c r="E51" s="81" t="s">
        <v>214</v>
      </c>
      <c r="F51" s="61">
        <f>IF(ISNA(VLOOKUP($A51,'2 Bridges Relay'!$F$2:$F$67,1,FALSE)),0,VLOOKUP($A51,'2 Bridges Relay'!$F$2:$J$67,5,FALSE))</f>
        <v>0</v>
      </c>
      <c r="G51" s="88">
        <f>IF(ISNA(VLOOKUP($A51,'5M''s'!$D$2:$E$27,1,FALSE)),0,VLOOKUP($A51,'5M''s'!$D$2:$E$27,2,FALSE))</f>
        <v>0</v>
      </c>
      <c r="H51" s="62">
        <f>IF(ISNA(VLOOKUP($A51,'Mile handicap'!$C$2:$C$51,1,FALSE)),0,VLOOKUP($A51,'Mile handicap'!$C$2:$K$51,9,FALSE))</f>
        <v>0</v>
      </c>
      <c r="I51" s="62">
        <f>IF(ISNA(VLOOKUP($A51,'5000m handicap'!$C$2:$C$46,1,FALSE)),0,VLOOKUP($A51,'5000m handicap'!$C$2:$K$46,9,FALSE))</f>
        <v>0</v>
      </c>
      <c r="J51" s="62">
        <f>IF(ISNA(VLOOKUP($A51,'KL handicap'!$C$2:$C$37,1,FALSE)),0,VLOOKUP($A51,'KL handicap'!$C$2:$I$37,7,FALSE))</f>
        <v>0</v>
      </c>
      <c r="K51" s="62">
        <f>IF(ISNA(VLOOKUP($A51,'3000m handicap'!$C$2:$C$47,1,FALSE)),0,VLOOKUP($A51,'3000m handicap'!$C$2:$K$47,9,FALSE))</f>
        <v>0</v>
      </c>
      <c r="L51" s="62">
        <f>IF(ISNA(VLOOKUP($A51,'10 km'!$B$2:$B$50,1,FALSE)),0,VLOOKUP($A51,'10 km'!$B$2:$D$50,3,FALSE))</f>
        <v>0</v>
      </c>
      <c r="M51" s="62">
        <f>IF(ISNA(VLOOKUP($A51,'Peter Moor 2000m'!$C$2:$C$30,1,FALSE)),0,VLOOKUP($A51,'Peter Moor 2000m'!$C$2:$I$30,7,FALSE))</f>
        <v>0</v>
      </c>
      <c r="N51" s="62">
        <f>IF(ISNA(VLOOKUP($A51,'Max Howard Tan handicap'!$C$2:$C$21,1,FALSE)),0,VLOOKUP($A51,'Max Howard Tan handicap'!$C$2:$I$21,7,FALSE))</f>
        <v>0</v>
      </c>
      <c r="O51" s="88">
        <f>IF(ISNA(VLOOKUP($A51,parkrun!$B$2:$H$145,1,FALSE)),0,VLOOKUP($A51,parkrun!$B$2:$H$145,7,FALSE))</f>
        <v>0</v>
      </c>
      <c r="P51" s="133">
        <f t="shared" si="9"/>
        <v>0</v>
      </c>
      <c r="Q51" s="134">
        <f t="shared" si="10"/>
        <v>0</v>
      </c>
      <c r="R51" s="64">
        <f t="shared" si="11"/>
        <v>0</v>
      </c>
      <c r="S51" s="64">
        <f t="shared" si="12"/>
        <v>0</v>
      </c>
      <c r="T51" s="25">
        <f t="shared" si="13"/>
        <v>29</v>
      </c>
      <c r="U51" s="26">
        <f t="shared" si="14"/>
        <v>29</v>
      </c>
    </row>
    <row r="52" spans="1:21" x14ac:dyDescent="0.2">
      <c r="A52" s="46" t="s">
        <v>83</v>
      </c>
      <c r="B52" s="81">
        <v>77</v>
      </c>
      <c r="C52" s="82" t="s">
        <v>234</v>
      </c>
      <c r="D52" s="146">
        <v>25921</v>
      </c>
      <c r="E52" s="81" t="s">
        <v>214</v>
      </c>
      <c r="F52" s="61">
        <f>IF(ISNA(VLOOKUP($A52,'2 Bridges Relay'!$F$2:$F$67,1,FALSE)),0,VLOOKUP($A52,'2 Bridges Relay'!$F$2:$J$67,5,FALSE))</f>
        <v>0</v>
      </c>
      <c r="G52" s="88">
        <f>IF(ISNA(VLOOKUP($A52,'5M''s'!$D$2:$E$27,1,FALSE)),0,VLOOKUP($A52,'5M''s'!$D$2:$E$27,2,FALSE))</f>
        <v>0</v>
      </c>
      <c r="H52" s="62">
        <f>IF(ISNA(VLOOKUP($A52,'Mile handicap'!$C$2:$C$51,1,FALSE)),0,VLOOKUP($A52,'Mile handicap'!$C$2:$K$51,9,FALSE))</f>
        <v>0</v>
      </c>
      <c r="I52" s="62">
        <f>IF(ISNA(VLOOKUP($A52,'5000m handicap'!$C$2:$C$46,1,FALSE)),0,VLOOKUP($A52,'5000m handicap'!$C$2:$K$46,9,FALSE))</f>
        <v>0</v>
      </c>
      <c r="J52" s="62">
        <f>IF(ISNA(VLOOKUP($A52,'KL handicap'!$C$2:$C$37,1,FALSE)),0,VLOOKUP($A52,'KL handicap'!$C$2:$I$37,7,FALSE))</f>
        <v>0</v>
      </c>
      <c r="K52" s="62">
        <f>IF(ISNA(VLOOKUP($A52,'3000m handicap'!$C$2:$C$47,1,FALSE)),0,VLOOKUP($A52,'3000m handicap'!$C$2:$K$47,9,FALSE))</f>
        <v>0</v>
      </c>
      <c r="L52" s="62">
        <f>IF(ISNA(VLOOKUP($A52,'10 km'!$B$2:$B$50,1,FALSE)),0,VLOOKUP($A52,'10 km'!$B$2:$D$50,3,FALSE))</f>
        <v>0</v>
      </c>
      <c r="M52" s="62">
        <f>IF(ISNA(VLOOKUP($A52,'Peter Moor 2000m'!$C$2:$C$30,1,FALSE)),0,VLOOKUP($A52,'Peter Moor 2000m'!$C$2:$I$30,7,FALSE))</f>
        <v>0</v>
      </c>
      <c r="N52" s="62">
        <f>IF(ISNA(VLOOKUP($A52,'Max Howard Tan handicap'!$C$2:$C$21,1,FALSE)),0,VLOOKUP($A52,'Max Howard Tan handicap'!$C$2:$I$21,7,FALSE))</f>
        <v>0</v>
      </c>
      <c r="O52" s="88">
        <f>IF(ISNA(VLOOKUP($A52,parkrun!$B$2:$H$145,1,FALSE)),0,VLOOKUP($A52,parkrun!$B$2:$H$145,7,FALSE))</f>
        <v>0</v>
      </c>
      <c r="P52" s="133">
        <f t="shared" si="9"/>
        <v>0</v>
      </c>
      <c r="Q52" s="134">
        <f t="shared" si="10"/>
        <v>0</v>
      </c>
      <c r="R52" s="64">
        <f t="shared" si="11"/>
        <v>0</v>
      </c>
      <c r="S52" s="64">
        <f t="shared" si="12"/>
        <v>0</v>
      </c>
      <c r="T52" s="25">
        <f t="shared" si="13"/>
        <v>29</v>
      </c>
      <c r="U52" s="26">
        <f t="shared" si="14"/>
        <v>29</v>
      </c>
    </row>
    <row r="53" spans="1:21" x14ac:dyDescent="0.2">
      <c r="A53" s="46" t="s">
        <v>298</v>
      </c>
      <c r="B53" s="81">
        <v>270</v>
      </c>
      <c r="C53" s="82" t="s">
        <v>234</v>
      </c>
      <c r="D53" s="146">
        <v>31472</v>
      </c>
      <c r="E53" s="81" t="s">
        <v>214</v>
      </c>
      <c r="F53" s="61">
        <f>IF(ISNA(VLOOKUP($A53,'2 Bridges Relay'!$F$2:$F$67,1,FALSE)),0,VLOOKUP($A53,'2 Bridges Relay'!$F$2:$J$67,5,FALSE))</f>
        <v>0</v>
      </c>
      <c r="G53" s="88">
        <f>IF(ISNA(VLOOKUP($A53,'5M''s'!$D$2:$E$27,1,FALSE)),0,VLOOKUP($A53,'5M''s'!$D$2:$E$27,2,FALSE))</f>
        <v>0</v>
      </c>
      <c r="H53" s="62">
        <f>IF(ISNA(VLOOKUP($A53,'Mile handicap'!$C$2:$C$51,1,FALSE)),0,VLOOKUP($A53,'Mile handicap'!$C$2:$K$51,9,FALSE))</f>
        <v>0</v>
      </c>
      <c r="I53" s="62">
        <f>IF(ISNA(VLOOKUP($A53,'5000m handicap'!$C$2:$C$46,1,FALSE)),0,VLOOKUP($A53,'5000m handicap'!$C$2:$K$46,9,FALSE))</f>
        <v>0</v>
      </c>
      <c r="J53" s="62">
        <f>IF(ISNA(VLOOKUP($A53,'KL handicap'!$C$2:$C$37,1,FALSE)),0,VLOOKUP($A53,'KL handicap'!$C$2:$I$37,7,FALSE))</f>
        <v>0</v>
      </c>
      <c r="K53" s="62">
        <f>IF(ISNA(VLOOKUP($A53,'3000m handicap'!$C$2:$C$47,1,FALSE)),0,VLOOKUP($A53,'3000m handicap'!$C$2:$K$47,9,FALSE))</f>
        <v>0</v>
      </c>
      <c r="L53" s="62">
        <f>IF(ISNA(VLOOKUP($A53,'10 km'!$B$2:$B$50,1,FALSE)),0,VLOOKUP($A53,'10 km'!$B$2:$D$50,3,FALSE))</f>
        <v>0</v>
      </c>
      <c r="M53" s="62">
        <f>IF(ISNA(VLOOKUP($A53,'Peter Moor 2000m'!$C$2:$C$30,1,FALSE)),0,VLOOKUP($A53,'Peter Moor 2000m'!$C$2:$I$30,7,FALSE))</f>
        <v>0</v>
      </c>
      <c r="N53" s="62">
        <f>IF(ISNA(VLOOKUP($A53,'Max Howard Tan handicap'!$C$2:$C$21,1,FALSE)),0,VLOOKUP($A53,'Max Howard Tan handicap'!$C$2:$I$21,7,FALSE))</f>
        <v>0</v>
      </c>
      <c r="O53" s="88">
        <f>IF(ISNA(VLOOKUP($A53,parkrun!$B$2:$H$145,1,FALSE)),0,VLOOKUP($A53,parkrun!$B$2:$H$145,7,FALSE))</f>
        <v>0</v>
      </c>
      <c r="P53" s="133">
        <f t="shared" si="9"/>
        <v>0</v>
      </c>
      <c r="Q53" s="134">
        <f t="shared" si="10"/>
        <v>0</v>
      </c>
      <c r="R53" s="64">
        <f t="shared" si="11"/>
        <v>0</v>
      </c>
      <c r="S53" s="64">
        <f t="shared" si="12"/>
        <v>0</v>
      </c>
      <c r="T53" s="25">
        <f t="shared" si="13"/>
        <v>29</v>
      </c>
      <c r="U53" s="26">
        <f t="shared" si="14"/>
        <v>29</v>
      </c>
    </row>
    <row r="54" spans="1:21" x14ac:dyDescent="0.2">
      <c r="A54" s="46" t="s">
        <v>364</v>
      </c>
      <c r="B54" s="81">
        <v>279</v>
      </c>
      <c r="C54" s="82" t="s">
        <v>234</v>
      </c>
      <c r="D54" s="146">
        <v>33543</v>
      </c>
      <c r="E54" s="81" t="s">
        <v>214</v>
      </c>
      <c r="F54" s="61">
        <f>IF(ISNA(VLOOKUP($A54,'2 Bridges Relay'!$F$2:$F$67,1,FALSE)),0,VLOOKUP($A54,'2 Bridges Relay'!$F$2:$J$67,5,FALSE))</f>
        <v>0</v>
      </c>
      <c r="G54" s="88">
        <f>IF(ISNA(VLOOKUP($A54,'5M''s'!$D$2:$E$27,1,FALSE)),0,VLOOKUP($A54,'5M''s'!$D$2:$E$27,2,FALSE))</f>
        <v>0</v>
      </c>
      <c r="H54" s="62">
        <f>IF(ISNA(VLOOKUP($A54,'Mile handicap'!$C$2:$C$51,1,FALSE)),0,VLOOKUP($A54,'Mile handicap'!$C$2:$K$51,9,FALSE))</f>
        <v>0</v>
      </c>
      <c r="I54" s="62">
        <f>IF(ISNA(VLOOKUP($A54,'5000m handicap'!$C$2:$C$46,1,FALSE)),0,VLOOKUP($A54,'5000m handicap'!$C$2:$K$46,9,FALSE))</f>
        <v>0</v>
      </c>
      <c r="J54" s="62">
        <f>IF(ISNA(VLOOKUP($A54,'KL handicap'!$C$2:$C$37,1,FALSE)),0,VLOOKUP($A54,'KL handicap'!$C$2:$I$37,7,FALSE))</f>
        <v>0</v>
      </c>
      <c r="K54" s="62">
        <f>IF(ISNA(VLOOKUP($A54,'3000m handicap'!$C$2:$C$47,1,FALSE)),0,VLOOKUP($A54,'3000m handicap'!$C$2:$K$47,9,FALSE))</f>
        <v>0</v>
      </c>
      <c r="L54" s="62">
        <f>IF(ISNA(VLOOKUP($A54,'10 km'!$B$2:$B$50,1,FALSE)),0,VLOOKUP($A54,'10 km'!$B$2:$D$50,3,FALSE))</f>
        <v>0</v>
      </c>
      <c r="M54" s="62">
        <f>IF(ISNA(VLOOKUP($A54,'Peter Moor 2000m'!$C$2:$C$30,1,FALSE)),0,VLOOKUP($A54,'Peter Moor 2000m'!$C$2:$I$30,7,FALSE))</f>
        <v>0</v>
      </c>
      <c r="N54" s="62">
        <f>IF(ISNA(VLOOKUP($A54,'Max Howard Tan handicap'!$C$2:$C$21,1,FALSE)),0,VLOOKUP($A54,'Max Howard Tan handicap'!$C$2:$I$21,7,FALSE))</f>
        <v>0</v>
      </c>
      <c r="O54" s="88">
        <f>IF(ISNA(VLOOKUP($A54,parkrun!$B$2:$H$145,1,FALSE)),0,VLOOKUP($A54,parkrun!$B$2:$H$145,7,FALSE))</f>
        <v>0</v>
      </c>
      <c r="P54" s="133">
        <f t="shared" si="9"/>
        <v>0</v>
      </c>
      <c r="Q54" s="134">
        <f t="shared" si="10"/>
        <v>0</v>
      </c>
      <c r="R54" s="64">
        <f t="shared" si="11"/>
        <v>0</v>
      </c>
      <c r="S54" s="64">
        <f t="shared" si="12"/>
        <v>0</v>
      </c>
      <c r="T54" s="25">
        <f t="shared" si="13"/>
        <v>29</v>
      </c>
      <c r="U54" s="26">
        <f t="shared" si="14"/>
        <v>29</v>
      </c>
    </row>
    <row r="55" spans="1:21" x14ac:dyDescent="0.2">
      <c r="A55" s="46" t="s">
        <v>370</v>
      </c>
      <c r="B55" s="81">
        <v>299</v>
      </c>
      <c r="C55" s="82" t="s">
        <v>234</v>
      </c>
      <c r="D55" s="146">
        <v>22152</v>
      </c>
      <c r="E55" s="81" t="s">
        <v>196</v>
      </c>
      <c r="F55" s="61">
        <f>IF(ISNA(VLOOKUP($A55,'2 Bridges Relay'!$F$2:$F$67,1,FALSE)),0,VLOOKUP($A55,'2 Bridges Relay'!$F$2:$J$67,5,FALSE))</f>
        <v>0</v>
      </c>
      <c r="G55" s="88">
        <f>IF(ISNA(VLOOKUP($A55,'5M''s'!$D$2:$E$27,1,FALSE)),0,VLOOKUP($A55,'5M''s'!$D$2:$E$27,2,FALSE))</f>
        <v>0</v>
      </c>
      <c r="H55" s="62">
        <f>IF(ISNA(VLOOKUP($A55,'Mile handicap'!$C$2:$C$51,1,FALSE)),0,VLOOKUP($A55,'Mile handicap'!$C$2:$K$51,9,FALSE))</f>
        <v>0</v>
      </c>
      <c r="I55" s="62">
        <f>IF(ISNA(VLOOKUP($A55,'5000m handicap'!$C$2:$C$46,1,FALSE)),0,VLOOKUP($A55,'5000m handicap'!$C$2:$K$46,9,FALSE))</f>
        <v>0</v>
      </c>
      <c r="J55" s="62">
        <f>IF(ISNA(VLOOKUP($A55,'KL handicap'!$C$2:$C$37,1,FALSE)),0,VLOOKUP($A55,'KL handicap'!$C$2:$I$37,7,FALSE))</f>
        <v>0</v>
      </c>
      <c r="K55" s="62">
        <f>IF(ISNA(VLOOKUP($A55,'3000m handicap'!$C$2:$C$47,1,FALSE)),0,VLOOKUP($A55,'3000m handicap'!$C$2:$K$47,9,FALSE))</f>
        <v>0</v>
      </c>
      <c r="L55" s="62">
        <f>IF(ISNA(VLOOKUP($A55,'10 km'!$B$2:$B$50,1,FALSE)),0,VLOOKUP($A55,'10 km'!$B$2:$D$50,3,FALSE))</f>
        <v>0</v>
      </c>
      <c r="M55" s="62">
        <f>IF(ISNA(VLOOKUP($A55,'Peter Moor 2000m'!$C$2:$C$30,1,FALSE)),0,VLOOKUP($A55,'Peter Moor 2000m'!$C$2:$I$30,7,FALSE))</f>
        <v>0</v>
      </c>
      <c r="N55" s="62">
        <f>IF(ISNA(VLOOKUP($A55,'Max Howard Tan handicap'!$C$2:$C$21,1,FALSE)),0,VLOOKUP($A55,'Max Howard Tan handicap'!$C$2:$I$21,7,FALSE))</f>
        <v>0</v>
      </c>
      <c r="O55" s="88">
        <f>IF(ISNA(VLOOKUP($A55,parkrun!$B$2:$H$145,1,FALSE)),0,VLOOKUP($A55,parkrun!$B$2:$H$145,7,FALSE))</f>
        <v>0</v>
      </c>
      <c r="P55" s="133">
        <f t="shared" si="9"/>
        <v>0</v>
      </c>
      <c r="Q55" s="134">
        <f t="shared" si="10"/>
        <v>0</v>
      </c>
      <c r="R55" s="64">
        <f t="shared" si="11"/>
        <v>0</v>
      </c>
      <c r="S55" s="64">
        <f t="shared" si="12"/>
        <v>0</v>
      </c>
      <c r="T55" s="25">
        <f t="shared" si="13"/>
        <v>29</v>
      </c>
      <c r="U55" s="26">
        <f t="shared" si="14"/>
        <v>29</v>
      </c>
    </row>
    <row r="56" spans="1:21" x14ac:dyDescent="0.2">
      <c r="A56" s="46" t="s">
        <v>403</v>
      </c>
      <c r="B56" s="81">
        <v>307</v>
      </c>
      <c r="C56" s="82" t="s">
        <v>234</v>
      </c>
      <c r="D56" s="146">
        <v>35930</v>
      </c>
      <c r="E56" s="81" t="s">
        <v>214</v>
      </c>
      <c r="F56" s="61">
        <f>IF(ISNA(VLOOKUP($A56,'2 Bridges Relay'!$F$2:$F$67,1,FALSE)),0,VLOOKUP($A56,'2 Bridges Relay'!$F$2:$J$67,5,FALSE))</f>
        <v>0</v>
      </c>
      <c r="G56" s="88">
        <f>IF(ISNA(VLOOKUP($A56,'5M''s'!$D$2:$E$27,1,FALSE)),0,VLOOKUP($A56,'5M''s'!$D$2:$E$27,2,FALSE))</f>
        <v>0</v>
      </c>
      <c r="H56" s="62">
        <f>IF(ISNA(VLOOKUP($A56,'Mile handicap'!$C$2:$C$51,1,FALSE)),0,VLOOKUP($A56,'Mile handicap'!$C$2:$K$51,9,FALSE))</f>
        <v>0</v>
      </c>
      <c r="I56" s="62">
        <f>IF(ISNA(VLOOKUP($A56,'5000m handicap'!$C$2:$C$46,1,FALSE)),0,VLOOKUP($A56,'5000m handicap'!$C$2:$K$46,9,FALSE))</f>
        <v>0</v>
      </c>
      <c r="J56" s="62">
        <f>IF(ISNA(VLOOKUP($A56,'KL handicap'!$C$2:$C$37,1,FALSE)),0,VLOOKUP($A56,'KL handicap'!$C$2:$I$37,7,FALSE))</f>
        <v>0</v>
      </c>
      <c r="K56" s="62">
        <f>IF(ISNA(VLOOKUP($A56,'3000m handicap'!$C$2:$C$47,1,FALSE)),0,VLOOKUP($A56,'3000m handicap'!$C$2:$K$47,9,FALSE))</f>
        <v>0</v>
      </c>
      <c r="L56" s="62">
        <f>IF(ISNA(VLOOKUP($A56,'10 km'!$B$2:$B$50,1,FALSE)),0,VLOOKUP($A56,'10 km'!$B$2:$D$50,3,FALSE))</f>
        <v>0</v>
      </c>
      <c r="M56" s="62">
        <f>IF(ISNA(VLOOKUP($A56,'Peter Moor 2000m'!$C$2:$C$30,1,FALSE)),0,VLOOKUP($A56,'Peter Moor 2000m'!$C$2:$I$30,7,FALSE))</f>
        <v>0</v>
      </c>
      <c r="N56" s="62">
        <f>IF(ISNA(VLOOKUP($A56,'Max Howard Tan handicap'!$C$2:$C$21,1,FALSE)),0,VLOOKUP($A56,'Max Howard Tan handicap'!$C$2:$I$21,7,FALSE))</f>
        <v>0</v>
      </c>
      <c r="O56" s="88">
        <f>IF(ISNA(VLOOKUP($A56,parkrun!$B$2:$H$145,1,FALSE)),0,VLOOKUP($A56,parkrun!$B$2:$H$145,7,FALSE))</f>
        <v>0</v>
      </c>
      <c r="P56" s="133">
        <f t="shared" si="9"/>
        <v>0</v>
      </c>
      <c r="Q56" s="134">
        <f t="shared" si="10"/>
        <v>0</v>
      </c>
      <c r="R56" s="64">
        <f t="shared" si="11"/>
        <v>0</v>
      </c>
      <c r="S56" s="64">
        <f t="shared" si="12"/>
        <v>0</v>
      </c>
      <c r="T56" s="25">
        <f t="shared" si="13"/>
        <v>29</v>
      </c>
      <c r="U56" s="26">
        <f t="shared" si="14"/>
        <v>29</v>
      </c>
    </row>
    <row r="57" spans="1:21" x14ac:dyDescent="0.2">
      <c r="A57" s="46"/>
      <c r="B57" s="144"/>
      <c r="C57" s="144"/>
      <c r="D57" s="146"/>
      <c r="E57" s="82"/>
      <c r="F57" s="47"/>
      <c r="G57" s="89"/>
      <c r="H57" s="48"/>
      <c r="I57" s="48"/>
      <c r="J57" s="55"/>
      <c r="K57" s="48"/>
      <c r="L57" s="48"/>
      <c r="M57" s="48"/>
      <c r="N57" s="55"/>
      <c r="O57" s="118"/>
      <c r="P57" s="49"/>
      <c r="Q57" s="50"/>
      <c r="R57" s="50"/>
      <c r="S57" s="50"/>
      <c r="T57" s="51"/>
      <c r="U57" s="52"/>
    </row>
    <row r="58" spans="1:21" x14ac:dyDescent="0.2">
      <c r="A58" s="40" t="s">
        <v>4</v>
      </c>
      <c r="B58" s="145"/>
      <c r="C58" s="145"/>
      <c r="D58" s="145"/>
      <c r="E58" s="83"/>
      <c r="F58" s="91"/>
      <c r="G58" s="33"/>
      <c r="H58" s="33"/>
      <c r="I58" s="33"/>
      <c r="J58" s="56"/>
      <c r="K58" s="33"/>
      <c r="L58" s="34"/>
      <c r="M58" s="34"/>
      <c r="N58" s="56"/>
      <c r="O58" s="119"/>
      <c r="P58" s="27"/>
      <c r="Q58" s="28"/>
      <c r="R58" s="28"/>
      <c r="S58" s="28"/>
      <c r="T58" s="29"/>
      <c r="U58" s="30"/>
    </row>
    <row r="59" spans="1:21" x14ac:dyDescent="0.2">
      <c r="A59" s="13"/>
      <c r="B59" s="13"/>
      <c r="C59" s="13"/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4"/>
      <c r="Q59" s="14"/>
      <c r="R59" s="14"/>
      <c r="S59" s="14"/>
      <c r="T59" s="14"/>
      <c r="U59" s="13"/>
    </row>
    <row r="60" spans="1:21" x14ac:dyDescent="0.2">
      <c r="A60" s="106" t="s">
        <v>161</v>
      </c>
      <c r="B60" s="106"/>
      <c r="C60" s="106"/>
      <c r="D60" s="106"/>
      <c r="E60" s="12"/>
      <c r="F60" s="12">
        <f>COUNTIF(F5:F57,"&gt;0")</f>
        <v>10</v>
      </c>
      <c r="G60" s="12">
        <f t="shared" ref="G60:O60" si="15">COUNTIF(G5:G57,"&gt;0")</f>
        <v>4</v>
      </c>
      <c r="H60" s="12">
        <f>COUNTIF(H5:H57,"&gt;0")</f>
        <v>8</v>
      </c>
      <c r="I60" s="12">
        <f>COUNTIF(I5:I57,"&gt;0")</f>
        <v>8</v>
      </c>
      <c r="J60" s="12">
        <f>COUNTIF(J5:J57,"&gt;0")</f>
        <v>7</v>
      </c>
      <c r="K60" s="12">
        <f t="shared" si="15"/>
        <v>9</v>
      </c>
      <c r="L60" s="12">
        <f t="shared" si="15"/>
        <v>9</v>
      </c>
      <c r="M60" s="12">
        <f t="shared" si="15"/>
        <v>4</v>
      </c>
      <c r="N60" s="12">
        <f t="shared" si="15"/>
        <v>3</v>
      </c>
      <c r="O60" s="12">
        <f t="shared" si="15"/>
        <v>25</v>
      </c>
      <c r="P60" s="14"/>
      <c r="Q60" s="14"/>
      <c r="R60" s="14"/>
      <c r="S60" s="14"/>
      <c r="T60" s="14"/>
      <c r="U60" s="13"/>
    </row>
    <row r="61" spans="1:21" x14ac:dyDescent="0.2">
      <c r="A61" s="106" t="s">
        <v>122</v>
      </c>
      <c r="B61" s="106"/>
      <c r="C61" s="106"/>
      <c r="D61" s="106"/>
      <c r="E61" s="12"/>
      <c r="F61" s="76">
        <f>SUM(F5:F57)</f>
        <v>743.31999999999994</v>
      </c>
      <c r="G61" s="76">
        <f t="shared" ref="G61:O61" si="16">SUM(G5:G57)</f>
        <v>340</v>
      </c>
      <c r="H61" s="76">
        <f>SUM(H5:H57)</f>
        <v>431.71</v>
      </c>
      <c r="I61" s="76">
        <f>SUM(I5:I57)</f>
        <v>334.22999999999996</v>
      </c>
      <c r="J61" s="76">
        <f>SUM(J5:J57)</f>
        <v>317.86</v>
      </c>
      <c r="K61" s="76">
        <f t="shared" si="16"/>
        <v>511.09999999999997</v>
      </c>
      <c r="L61" s="76">
        <f t="shared" si="16"/>
        <v>222.43999999999997</v>
      </c>
      <c r="M61" s="76">
        <f t="shared" si="16"/>
        <v>231.82</v>
      </c>
      <c r="N61" s="76">
        <f t="shared" si="16"/>
        <v>150</v>
      </c>
      <c r="O61" s="76">
        <f t="shared" si="16"/>
        <v>1348.6100000000004</v>
      </c>
      <c r="P61" s="14"/>
      <c r="Q61" s="14"/>
      <c r="R61" s="14"/>
      <c r="S61" s="14"/>
      <c r="T61" s="14"/>
      <c r="U61" s="13"/>
    </row>
    <row r="62" spans="1:21" x14ac:dyDescent="0.2">
      <c r="A62" s="3"/>
      <c r="B62" s="3"/>
      <c r="C62" s="3"/>
      <c r="D62" s="3"/>
      <c r="O62" s="111"/>
    </row>
    <row r="63" spans="1:21" x14ac:dyDescent="0.2">
      <c r="A63" s="97" t="s">
        <v>240</v>
      </c>
      <c r="B63" s="97"/>
      <c r="C63" s="97"/>
      <c r="D63" s="97"/>
      <c r="E63" s="136">
        <f>COUNTA(E5:E57)-E64</f>
        <v>48</v>
      </c>
      <c r="H63" s="136"/>
    </row>
    <row r="64" spans="1:21" x14ac:dyDescent="0.2">
      <c r="A64" s="97" t="s">
        <v>241</v>
      </c>
      <c r="B64" s="97"/>
      <c r="C64" s="97"/>
      <c r="D64" s="97"/>
      <c r="E64" s="136">
        <f>COUNTIF(E5:E57,"50+")</f>
        <v>4</v>
      </c>
      <c r="F64" s="154">
        <f>E64/E65</f>
        <v>7.6923076923076927E-2</v>
      </c>
    </row>
    <row r="65" spans="1:9" x14ac:dyDescent="0.2">
      <c r="A65" s="137"/>
      <c r="B65" s="137"/>
      <c r="C65" s="137"/>
      <c r="D65" s="137"/>
      <c r="E65" s="136">
        <f>SUM(E63:E64)</f>
        <v>52</v>
      </c>
      <c r="H65" s="136"/>
      <c r="I65" s="111"/>
    </row>
    <row r="66" spans="1:9" x14ac:dyDescent="0.2">
      <c r="A66" s="98"/>
      <c r="B66" s="98"/>
      <c r="C66" s="98"/>
      <c r="D66" s="98"/>
      <c r="E66" s="98"/>
    </row>
    <row r="67" spans="1:9" x14ac:dyDescent="0.2">
      <c r="A67"/>
      <c r="B67"/>
      <c r="C67"/>
      <c r="D67"/>
      <c r="E67"/>
    </row>
    <row r="68" spans="1:9" x14ac:dyDescent="0.2">
      <c r="A68"/>
      <c r="B68"/>
      <c r="C68"/>
      <c r="D68"/>
      <c r="E68"/>
    </row>
    <row r="69" spans="1:9" x14ac:dyDescent="0.2">
      <c r="A69" s="45"/>
      <c r="B69" s="45"/>
      <c r="C69" s="45"/>
      <c r="D69" s="45"/>
      <c r="E69"/>
    </row>
    <row r="70" spans="1:9" x14ac:dyDescent="0.2">
      <c r="A70" s="45"/>
      <c r="B70" s="45"/>
      <c r="C70" s="45"/>
      <c r="D70" s="45"/>
      <c r="E70"/>
    </row>
    <row r="71" spans="1:9" x14ac:dyDescent="0.2">
      <c r="A71" s="45"/>
      <c r="B71" s="45"/>
      <c r="C71" s="45"/>
      <c r="D71" s="45"/>
    </row>
    <row r="72" spans="1:9" x14ac:dyDescent="0.2">
      <c r="A72" s="45"/>
      <c r="B72" s="45"/>
      <c r="C72" s="45"/>
      <c r="D72" s="45"/>
    </row>
    <row r="73" spans="1:9" x14ac:dyDescent="0.2">
      <c r="A73" s="45"/>
      <c r="B73" s="45"/>
      <c r="C73" s="45"/>
      <c r="D73" s="45"/>
    </row>
  </sheetData>
  <sheetProtection algorithmName="SHA-512" hashValue="9uUNA6e7SQBW+d5u9whCByev+5z5MNcVYMbTwxB/juwSpZQAdwyUAWDgkP1Bxw8CC32Bhac05apzcgJ3mOt8hA==" saltValue="PZIK48SRjGDxnc0eoaLEgQ==" spinCount="100000" sheet="1" objects="1" scenarios="1"/>
  <sortState xmlns:xlrd2="http://schemas.microsoft.com/office/spreadsheetml/2017/richdata2" ref="A5:U56">
    <sortCondition ref="U5:U56"/>
    <sortCondition ref="A5:A56"/>
  </sortState>
  <phoneticPr fontId="0" type="noConversion"/>
  <printOptions horizontalCentered="1" verticalCentered="1"/>
  <pageMargins left="0.39370078740157483" right="0.39370078740157483" top="0.32" bottom="0.26" header="0.42" footer="0.23"/>
  <pageSetup paperSize="8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2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28515625" customWidth="1"/>
    <col min="2" max="2" width="11.28515625" customWidth="1"/>
    <col min="3" max="3" width="23.7109375" customWidth="1"/>
    <col min="4" max="8" width="11.140625" customWidth="1"/>
    <col min="9" max="9" width="7.7109375" bestFit="1" customWidth="1"/>
    <col min="10" max="10" width="5.7109375" hidden="1" customWidth="1"/>
    <col min="11" max="11" width="5" hidden="1" customWidth="1"/>
    <col min="12" max="12" width="8" hidden="1" customWidth="1"/>
    <col min="13" max="13" width="4.85546875" hidden="1" customWidth="1"/>
    <col min="14" max="15" width="10.85546875" hidden="1" customWidth="1"/>
    <col min="16" max="16" width="9.42578125" hidden="1" customWidth="1"/>
    <col min="17" max="17" width="7.7109375" customWidth="1"/>
    <col min="18" max="18" width="11.28515625" customWidth="1"/>
    <col min="19" max="19" width="23.7109375" customWidth="1"/>
    <col min="20" max="21" width="11.140625" customWidth="1"/>
    <col min="22" max="22" width="7.7109375" customWidth="1"/>
    <col min="23" max="23" width="11.140625" customWidth="1"/>
    <col min="24" max="24" width="24.42578125" bestFit="1" customWidth="1"/>
    <col min="26" max="26" width="10.28515625" hidden="1" customWidth="1"/>
  </cols>
  <sheetData>
    <row r="1" spans="1:26" ht="37.5" customHeight="1" x14ac:dyDescent="0.2">
      <c r="A1" s="165" t="s">
        <v>5</v>
      </c>
      <c r="B1" s="165" t="s">
        <v>6</v>
      </c>
      <c r="C1" s="166" t="s">
        <v>7</v>
      </c>
      <c r="D1" s="165" t="s">
        <v>16</v>
      </c>
      <c r="E1" s="165" t="s">
        <v>219</v>
      </c>
      <c r="F1" s="165" t="s">
        <v>19</v>
      </c>
      <c r="G1" s="165" t="s">
        <v>218</v>
      </c>
      <c r="H1" s="165" t="s">
        <v>14</v>
      </c>
      <c r="I1" s="165" t="s">
        <v>9</v>
      </c>
      <c r="J1" s="138">
        <v>6.076388888888889E-3</v>
      </c>
      <c r="L1" s="8" t="s">
        <v>289</v>
      </c>
      <c r="M1" s="108" t="s">
        <v>154</v>
      </c>
      <c r="N1" s="99" t="s">
        <v>152</v>
      </c>
      <c r="O1" s="99" t="s">
        <v>153</v>
      </c>
      <c r="R1" s="159" t="s">
        <v>6</v>
      </c>
      <c r="S1" s="159" t="s">
        <v>7</v>
      </c>
      <c r="T1" s="159" t="s">
        <v>19</v>
      </c>
      <c r="U1" s="159" t="s">
        <v>275</v>
      </c>
      <c r="V1" s="151"/>
      <c r="W1" s="162" t="s">
        <v>245</v>
      </c>
      <c r="X1" s="164" t="s">
        <v>7</v>
      </c>
      <c r="Y1" s="163" t="s">
        <v>152</v>
      </c>
      <c r="Z1" s="113">
        <v>43704</v>
      </c>
    </row>
    <row r="2" spans="1:26" ht="16.5" customHeight="1" x14ac:dyDescent="0.2">
      <c r="A2" s="43">
        <f t="shared" ref="A2:A9" si="0">RANK(G2,$G$2:$G$23,1)</f>
        <v>1</v>
      </c>
      <c r="B2" s="43">
        <f t="shared" ref="B2:B23" si="1">RANK(F2,$F$2:$F$23,1)</f>
        <v>21</v>
      </c>
      <c r="C2" s="72" t="s">
        <v>104</v>
      </c>
      <c r="D2" s="193">
        <v>6.076388888888889E-3</v>
      </c>
      <c r="E2" s="227">
        <f t="shared" ref="E2:E23" si="2">$J$1-D2</f>
        <v>0</v>
      </c>
      <c r="F2" s="96">
        <v>5.9027777777777776E-3</v>
      </c>
      <c r="G2" s="96">
        <f t="shared" ref="G2:G23" si="3">F2+E2</f>
        <v>5.9027777777777776E-3</v>
      </c>
      <c r="H2" s="153">
        <f t="shared" ref="H2:H23" si="4">IF(F2&gt;D2,F2-D2,D2-F2)</f>
        <v>1.7361111111111136E-4</v>
      </c>
      <c r="I2" s="59">
        <f t="shared" ref="I2:I23" si="5">ROUND(100-((100/$B$25)*(A2-1)),2)</f>
        <v>100</v>
      </c>
      <c r="J2" s="70"/>
      <c r="K2" s="179"/>
      <c r="L2" s="96">
        <f>F2</f>
        <v>5.9027777777777776E-3</v>
      </c>
      <c r="M2" s="43">
        <f t="shared" ref="M2:M23" si="6">DATEDIF(Z2,$Z$1,"y")</f>
        <v>67</v>
      </c>
      <c r="N2" s="150">
        <v>0.73550000000000004</v>
      </c>
      <c r="O2" s="43">
        <f t="shared" ref="O2:O23" si="7">RANK(N2,$N$2:$N$23,0)</f>
        <v>12</v>
      </c>
      <c r="Q2" s="179"/>
      <c r="R2" s="43">
        <v>1</v>
      </c>
      <c r="S2" s="68" t="s">
        <v>182</v>
      </c>
      <c r="T2" s="96">
        <v>4.1203703703703706E-3</v>
      </c>
      <c r="U2" s="93">
        <f t="shared" ref="U2:U23" si="8">T2/2</f>
        <v>2.0601851851851853E-3</v>
      </c>
      <c r="V2" s="168"/>
      <c r="W2" s="73">
        <v>1</v>
      </c>
      <c r="X2" s="68" t="s">
        <v>32</v>
      </c>
      <c r="Y2" s="150">
        <v>0.81279999999999997</v>
      </c>
      <c r="Z2" s="113">
        <v>19069</v>
      </c>
    </row>
    <row r="3" spans="1:26" ht="16.5" customHeight="1" x14ac:dyDescent="0.2">
      <c r="A3" s="43">
        <f t="shared" si="0"/>
        <v>2</v>
      </c>
      <c r="B3" s="43">
        <f t="shared" si="1"/>
        <v>20</v>
      </c>
      <c r="C3" s="72" t="s">
        <v>33</v>
      </c>
      <c r="D3" s="193">
        <v>5.9027777777777776E-3</v>
      </c>
      <c r="E3" s="227">
        <f t="shared" si="2"/>
        <v>1.7361111111111136E-4</v>
      </c>
      <c r="F3" s="96">
        <v>5.8217592592592583E-3</v>
      </c>
      <c r="G3" s="96">
        <f t="shared" si="3"/>
        <v>5.9953703703703697E-3</v>
      </c>
      <c r="H3" s="153">
        <f t="shared" si="4"/>
        <v>8.1018518518519329E-5</v>
      </c>
      <c r="I3" s="59">
        <f t="shared" si="5"/>
        <v>95.45</v>
      </c>
      <c r="J3" s="70"/>
      <c r="K3" s="179"/>
      <c r="L3" s="96">
        <f t="shared" ref="L3:L23" si="9">F3</f>
        <v>5.8217592592592583E-3</v>
      </c>
      <c r="M3" s="43">
        <f t="shared" si="6"/>
        <v>40</v>
      </c>
      <c r="N3" s="150">
        <v>0.67269999999999996</v>
      </c>
      <c r="O3" s="43">
        <f t="shared" si="7"/>
        <v>19</v>
      </c>
      <c r="Q3" s="179"/>
      <c r="R3" s="43">
        <v>2</v>
      </c>
      <c r="S3" s="68" t="s">
        <v>32</v>
      </c>
      <c r="T3" s="96">
        <v>4.3981481481481484E-3</v>
      </c>
      <c r="U3" s="93">
        <f t="shared" si="8"/>
        <v>2.1990740740740742E-3</v>
      </c>
      <c r="V3" s="168"/>
      <c r="W3" s="73">
        <v>2</v>
      </c>
      <c r="X3" s="68" t="s">
        <v>182</v>
      </c>
      <c r="Y3" s="150">
        <v>0.81269999999999998</v>
      </c>
      <c r="Z3" s="113">
        <v>28967</v>
      </c>
    </row>
    <row r="4" spans="1:26" ht="16.5" customHeight="1" x14ac:dyDescent="0.2">
      <c r="A4" s="43">
        <f t="shared" si="0"/>
        <v>2</v>
      </c>
      <c r="B4" s="43">
        <f t="shared" si="1"/>
        <v>16</v>
      </c>
      <c r="C4" s="68" t="s">
        <v>351</v>
      </c>
      <c r="D4" s="193">
        <v>5.3819444444444453E-3</v>
      </c>
      <c r="E4" s="227">
        <f t="shared" si="2"/>
        <v>6.9444444444444371E-4</v>
      </c>
      <c r="F4" s="96">
        <v>5.3009259259259259E-3</v>
      </c>
      <c r="G4" s="96">
        <f t="shared" si="3"/>
        <v>5.9953703703703697E-3</v>
      </c>
      <c r="H4" s="153">
        <f t="shared" si="4"/>
        <v>8.1018518518519329E-5</v>
      </c>
      <c r="I4" s="59">
        <f t="shared" si="5"/>
        <v>95.45</v>
      </c>
      <c r="J4" s="70"/>
      <c r="K4" s="179"/>
      <c r="L4" s="96">
        <f t="shared" si="9"/>
        <v>5.3009259259259259E-3</v>
      </c>
      <c r="M4" s="43">
        <f t="shared" si="6"/>
        <v>43</v>
      </c>
      <c r="N4" s="150">
        <v>0.66920000000000002</v>
      </c>
      <c r="O4" s="43">
        <f t="shared" si="7"/>
        <v>20</v>
      </c>
      <c r="Q4" s="179"/>
      <c r="R4" s="43">
        <v>3</v>
      </c>
      <c r="S4" s="72" t="s">
        <v>191</v>
      </c>
      <c r="T4" s="96">
        <v>4.5138888888888885E-3</v>
      </c>
      <c r="U4" s="93">
        <f t="shared" si="8"/>
        <v>2.2569444444444442E-3</v>
      </c>
      <c r="V4" s="168"/>
      <c r="W4" s="73">
        <v>3</v>
      </c>
      <c r="X4" s="72" t="s">
        <v>99</v>
      </c>
      <c r="Y4" s="150">
        <v>0.8085</v>
      </c>
      <c r="Z4" s="113">
        <v>27743</v>
      </c>
    </row>
    <row r="5" spans="1:26" ht="16.5" customHeight="1" x14ac:dyDescent="0.2">
      <c r="A5" s="43">
        <f t="shared" si="0"/>
        <v>4</v>
      </c>
      <c r="B5" s="43">
        <f t="shared" si="1"/>
        <v>6</v>
      </c>
      <c r="C5" s="68" t="s">
        <v>98</v>
      </c>
      <c r="D5" s="193">
        <v>4.8032407407407407E-3</v>
      </c>
      <c r="E5" s="227">
        <f t="shared" si="2"/>
        <v>1.2731481481481483E-3</v>
      </c>
      <c r="F5" s="96">
        <v>4.7337962962962958E-3</v>
      </c>
      <c r="G5" s="96">
        <f t="shared" si="3"/>
        <v>6.0069444444444441E-3</v>
      </c>
      <c r="H5" s="153">
        <f t="shared" si="4"/>
        <v>6.9444444444444892E-5</v>
      </c>
      <c r="I5" s="59">
        <f t="shared" si="5"/>
        <v>86.36</v>
      </c>
      <c r="J5" s="70"/>
      <c r="K5" s="179"/>
      <c r="L5" s="96">
        <f t="shared" si="9"/>
        <v>4.7337962962962958E-3</v>
      </c>
      <c r="M5" s="43">
        <f t="shared" si="6"/>
        <v>44</v>
      </c>
      <c r="N5" s="150">
        <v>0.75519999999999998</v>
      </c>
      <c r="O5" s="43">
        <f t="shared" si="7"/>
        <v>9</v>
      </c>
      <c r="Q5" s="179"/>
      <c r="R5" s="43">
        <v>4</v>
      </c>
      <c r="S5" s="72" t="s">
        <v>99</v>
      </c>
      <c r="T5" s="96">
        <v>4.710648148148147E-3</v>
      </c>
      <c r="U5" s="93">
        <f t="shared" si="8"/>
        <v>2.3553240740740735E-3</v>
      </c>
      <c r="V5" s="168"/>
      <c r="W5" s="73">
        <v>4</v>
      </c>
      <c r="X5" s="72" t="s">
        <v>125</v>
      </c>
      <c r="Y5" s="150">
        <v>0.80549999999999999</v>
      </c>
      <c r="Z5" s="113">
        <v>27521</v>
      </c>
    </row>
    <row r="6" spans="1:26" ht="16.5" customHeight="1" x14ac:dyDescent="0.2">
      <c r="A6" s="43">
        <f t="shared" si="0"/>
        <v>5</v>
      </c>
      <c r="B6" s="43">
        <f t="shared" si="1"/>
        <v>3</v>
      </c>
      <c r="C6" s="72" t="s">
        <v>191</v>
      </c>
      <c r="D6" s="193">
        <v>4.5717592592592589E-3</v>
      </c>
      <c r="E6" s="227">
        <f t="shared" si="2"/>
        <v>1.5046296296296301E-3</v>
      </c>
      <c r="F6" s="96">
        <v>4.5138888888888885E-3</v>
      </c>
      <c r="G6" s="96">
        <f t="shared" si="3"/>
        <v>6.0185185185185185E-3</v>
      </c>
      <c r="H6" s="153">
        <f t="shared" si="4"/>
        <v>5.7870370370370454E-5</v>
      </c>
      <c r="I6" s="59">
        <f t="shared" si="5"/>
        <v>81.819999999999993</v>
      </c>
      <c r="J6" s="70"/>
      <c r="K6" s="179"/>
      <c r="L6" s="96">
        <f t="shared" si="9"/>
        <v>4.5138888888888885E-3</v>
      </c>
      <c r="M6" s="43">
        <f t="shared" si="6"/>
        <v>36</v>
      </c>
      <c r="N6" s="150">
        <v>0.74639999999999995</v>
      </c>
      <c r="O6" s="43">
        <f t="shared" si="7"/>
        <v>11</v>
      </c>
      <c r="Q6" s="179"/>
      <c r="R6" s="43">
        <v>5</v>
      </c>
      <c r="S6" s="68" t="s">
        <v>347</v>
      </c>
      <c r="T6" s="96">
        <v>4.7222222222222223E-3</v>
      </c>
      <c r="U6" s="93">
        <f t="shared" si="8"/>
        <v>2.3611111111111111E-3</v>
      </c>
      <c r="V6" s="168"/>
      <c r="W6" s="73">
        <v>5</v>
      </c>
      <c r="X6" s="68" t="s">
        <v>347</v>
      </c>
      <c r="Y6" s="150">
        <v>0.79349999999999998</v>
      </c>
      <c r="Z6" s="113">
        <v>30234</v>
      </c>
    </row>
    <row r="7" spans="1:26" ht="16.5" customHeight="1" x14ac:dyDescent="0.2">
      <c r="A7" s="43">
        <f t="shared" si="0"/>
        <v>6</v>
      </c>
      <c r="B7" s="43">
        <f t="shared" si="1"/>
        <v>12</v>
      </c>
      <c r="C7" s="68" t="s">
        <v>169</v>
      </c>
      <c r="D7" s="193">
        <v>5.208333333333333E-3</v>
      </c>
      <c r="E7" s="227">
        <f t="shared" si="2"/>
        <v>8.6805555555555594E-4</v>
      </c>
      <c r="F7" s="96">
        <v>5.1736111111111106E-3</v>
      </c>
      <c r="G7" s="96">
        <f t="shared" si="3"/>
        <v>6.0416666666666665E-3</v>
      </c>
      <c r="H7" s="153">
        <f t="shared" si="4"/>
        <v>3.4722222222222446E-5</v>
      </c>
      <c r="I7" s="59">
        <f t="shared" si="5"/>
        <v>77.27</v>
      </c>
      <c r="J7" s="70"/>
      <c r="K7" s="179"/>
      <c r="L7" s="96">
        <f t="shared" si="9"/>
        <v>5.1736111111111106E-3</v>
      </c>
      <c r="M7" s="43">
        <f t="shared" si="6"/>
        <v>47</v>
      </c>
      <c r="N7" s="150">
        <v>0.70730000000000004</v>
      </c>
      <c r="O7" s="43">
        <f t="shared" si="7"/>
        <v>14</v>
      </c>
      <c r="Q7" s="179"/>
      <c r="R7" s="43">
        <v>6</v>
      </c>
      <c r="S7" s="68" t="s">
        <v>98</v>
      </c>
      <c r="T7" s="96">
        <v>4.7337962962962958E-3</v>
      </c>
      <c r="U7" s="93">
        <f t="shared" si="8"/>
        <v>2.3668981481481479E-3</v>
      </c>
      <c r="V7" s="168"/>
      <c r="W7" s="73">
        <v>6</v>
      </c>
      <c r="X7" s="68" t="s">
        <v>321</v>
      </c>
      <c r="Y7" s="150">
        <v>0.77080000000000004</v>
      </c>
      <c r="Z7" s="113">
        <v>26193</v>
      </c>
    </row>
    <row r="8" spans="1:26" ht="16.5" customHeight="1" x14ac:dyDescent="0.2">
      <c r="A8" s="43">
        <f t="shared" si="0"/>
        <v>7</v>
      </c>
      <c r="B8" s="43">
        <f t="shared" si="1"/>
        <v>14</v>
      </c>
      <c r="C8" s="72" t="s">
        <v>125</v>
      </c>
      <c r="D8" s="193">
        <v>5.2662037037037035E-3</v>
      </c>
      <c r="E8" s="227">
        <f t="shared" si="2"/>
        <v>8.1018518518518549E-4</v>
      </c>
      <c r="F8" s="96">
        <v>5.2430555555555555E-3</v>
      </c>
      <c r="G8" s="96">
        <f t="shared" si="3"/>
        <v>6.053240740740741E-3</v>
      </c>
      <c r="H8" s="153">
        <f t="shared" si="4"/>
        <v>2.3148148148148008E-5</v>
      </c>
      <c r="I8" s="59">
        <f t="shared" si="5"/>
        <v>72.73</v>
      </c>
      <c r="J8" s="70"/>
      <c r="K8" s="179"/>
      <c r="L8" s="96">
        <f t="shared" si="9"/>
        <v>5.2430555555555555E-3</v>
      </c>
      <c r="M8" s="43">
        <f t="shared" si="6"/>
        <v>64</v>
      </c>
      <c r="N8" s="150">
        <v>0.80549999999999999</v>
      </c>
      <c r="O8" s="43">
        <f t="shared" si="7"/>
        <v>4</v>
      </c>
      <c r="Q8" s="179"/>
      <c r="R8" s="43">
        <v>7</v>
      </c>
      <c r="S8" s="68" t="s">
        <v>396</v>
      </c>
      <c r="T8" s="96">
        <v>4.7685185185185183E-3</v>
      </c>
      <c r="U8" s="93">
        <f t="shared" si="8"/>
        <v>2.3842592592592591E-3</v>
      </c>
      <c r="V8" s="168"/>
      <c r="W8" s="73">
        <v>7</v>
      </c>
      <c r="X8" s="68" t="s">
        <v>77</v>
      </c>
      <c r="Y8" s="150">
        <v>0.76729999999999998</v>
      </c>
      <c r="Z8" s="113">
        <v>20133</v>
      </c>
    </row>
    <row r="9" spans="1:26" ht="16.5" customHeight="1" x14ac:dyDescent="0.2">
      <c r="A9" s="43">
        <f t="shared" si="0"/>
        <v>8</v>
      </c>
      <c r="B9" s="43">
        <f t="shared" si="1"/>
        <v>10</v>
      </c>
      <c r="C9" s="68" t="s">
        <v>321</v>
      </c>
      <c r="D9" s="193">
        <v>5.0925925925925921E-3</v>
      </c>
      <c r="E9" s="227">
        <f t="shared" si="2"/>
        <v>9.8379629629629685E-4</v>
      </c>
      <c r="F9" s="96">
        <v>5.0810185185185177E-3</v>
      </c>
      <c r="G9" s="96">
        <f t="shared" si="3"/>
        <v>6.0648148148148145E-3</v>
      </c>
      <c r="H9" s="153">
        <f t="shared" si="4"/>
        <v>1.1574074074074438E-5</v>
      </c>
      <c r="I9" s="59">
        <f t="shared" si="5"/>
        <v>68.180000000000007</v>
      </c>
      <c r="J9" s="70"/>
      <c r="K9" s="179"/>
      <c r="L9" s="96">
        <f t="shared" si="9"/>
        <v>5.0810185185185177E-3</v>
      </c>
      <c r="M9" s="43">
        <f t="shared" si="6"/>
        <v>40</v>
      </c>
      <c r="N9" s="150">
        <v>0.77080000000000004</v>
      </c>
      <c r="O9" s="43">
        <f t="shared" si="7"/>
        <v>6</v>
      </c>
      <c r="Q9" s="179"/>
      <c r="R9" s="43">
        <v>8</v>
      </c>
      <c r="S9" s="68" t="s">
        <v>173</v>
      </c>
      <c r="T9" s="96">
        <v>4.9305555555555552E-3</v>
      </c>
      <c r="U9" s="93">
        <f t="shared" si="8"/>
        <v>2.4652777777777776E-3</v>
      </c>
      <c r="V9" s="168"/>
      <c r="W9" s="73">
        <v>8</v>
      </c>
      <c r="X9" s="68" t="s">
        <v>396</v>
      </c>
      <c r="Y9" s="150">
        <v>0.76139999999999997</v>
      </c>
      <c r="Z9" s="113">
        <v>29064</v>
      </c>
    </row>
    <row r="10" spans="1:26" ht="16.5" customHeight="1" x14ac:dyDescent="0.2">
      <c r="A10" s="43">
        <v>8</v>
      </c>
      <c r="B10" s="43">
        <f t="shared" si="1"/>
        <v>1</v>
      </c>
      <c r="C10" s="68" t="s">
        <v>182</v>
      </c>
      <c r="D10" s="193">
        <v>4.1319444444444442E-3</v>
      </c>
      <c r="E10" s="227">
        <f t="shared" si="2"/>
        <v>1.9444444444444448E-3</v>
      </c>
      <c r="F10" s="96">
        <v>4.1203703703703706E-3</v>
      </c>
      <c r="G10" s="96">
        <f t="shared" si="3"/>
        <v>6.0648148148148154E-3</v>
      </c>
      <c r="H10" s="153">
        <f t="shared" si="4"/>
        <v>1.157407407407357E-5</v>
      </c>
      <c r="I10" s="59">
        <f t="shared" si="5"/>
        <v>68.180000000000007</v>
      </c>
      <c r="J10" s="70"/>
      <c r="K10" s="179"/>
      <c r="L10" s="96">
        <f t="shared" si="9"/>
        <v>4.1203703703703706E-3</v>
      </c>
      <c r="M10" s="43">
        <f t="shared" si="6"/>
        <v>35</v>
      </c>
      <c r="N10" s="150">
        <v>0.81269999999999998</v>
      </c>
      <c r="O10" s="43">
        <f t="shared" si="7"/>
        <v>2</v>
      </c>
      <c r="Q10" s="179"/>
      <c r="R10" s="43">
        <v>9</v>
      </c>
      <c r="S10" s="72" t="s">
        <v>258</v>
      </c>
      <c r="T10" s="96">
        <v>4.9537037037037041E-3</v>
      </c>
      <c r="U10" s="93">
        <f t="shared" si="8"/>
        <v>2.476851851851852E-3</v>
      </c>
      <c r="V10" s="168"/>
      <c r="W10" s="73">
        <v>9</v>
      </c>
      <c r="X10" s="68" t="s">
        <v>98</v>
      </c>
      <c r="Y10" s="150">
        <v>0.75519999999999998</v>
      </c>
      <c r="Z10" s="113">
        <v>30591</v>
      </c>
    </row>
    <row r="11" spans="1:26" ht="16.5" customHeight="1" x14ac:dyDescent="0.2">
      <c r="A11" s="43">
        <f t="shared" ref="A11:A18" si="10">RANK(G11,$G$2:$G$23,1)</f>
        <v>10</v>
      </c>
      <c r="B11" s="43">
        <f t="shared" si="1"/>
        <v>2</v>
      </c>
      <c r="C11" s="68" t="s">
        <v>32</v>
      </c>
      <c r="D11" s="193">
        <v>4.3981481481481484E-3</v>
      </c>
      <c r="E11" s="227">
        <f t="shared" si="2"/>
        <v>1.6782407407407406E-3</v>
      </c>
      <c r="F11" s="96">
        <v>4.3981481481481484E-3</v>
      </c>
      <c r="G11" s="96">
        <f t="shared" si="3"/>
        <v>6.076388888888889E-3</v>
      </c>
      <c r="H11" s="228">
        <f t="shared" si="4"/>
        <v>0</v>
      </c>
      <c r="I11" s="59">
        <f t="shared" si="5"/>
        <v>59.09</v>
      </c>
      <c r="J11" s="70"/>
      <c r="K11" s="179"/>
      <c r="L11" s="96">
        <f t="shared" si="9"/>
        <v>4.3981481481481484E-3</v>
      </c>
      <c r="M11" s="43">
        <f t="shared" si="6"/>
        <v>44</v>
      </c>
      <c r="N11" s="150">
        <v>0.81279999999999997</v>
      </c>
      <c r="O11" s="43">
        <f t="shared" si="7"/>
        <v>1</v>
      </c>
      <c r="Q11" s="179"/>
      <c r="R11" s="43">
        <v>10</v>
      </c>
      <c r="S11" s="68" t="s">
        <v>321</v>
      </c>
      <c r="T11" s="96">
        <v>5.0810185185185177E-3</v>
      </c>
      <c r="U11" s="93">
        <f t="shared" si="8"/>
        <v>2.5405092592592588E-3</v>
      </c>
      <c r="V11" s="168"/>
      <c r="W11" s="73">
        <v>10</v>
      </c>
      <c r="X11" s="72" t="s">
        <v>184</v>
      </c>
      <c r="Y11" s="150">
        <v>0.75080000000000002</v>
      </c>
      <c r="Z11" s="113">
        <v>27386</v>
      </c>
    </row>
    <row r="12" spans="1:26" ht="16.5" customHeight="1" x14ac:dyDescent="0.2">
      <c r="A12" s="43">
        <f t="shared" si="10"/>
        <v>11</v>
      </c>
      <c r="B12" s="43">
        <f t="shared" si="1"/>
        <v>13</v>
      </c>
      <c r="C12" s="68" t="s">
        <v>77</v>
      </c>
      <c r="D12" s="193">
        <v>5.208333333333333E-3</v>
      </c>
      <c r="E12" s="227">
        <f t="shared" si="2"/>
        <v>8.6805555555555594E-4</v>
      </c>
      <c r="F12" s="96">
        <v>5.2199074074074083E-3</v>
      </c>
      <c r="G12" s="96">
        <f t="shared" si="3"/>
        <v>6.0879629629629643E-3</v>
      </c>
      <c r="H12" s="228">
        <f t="shared" si="4"/>
        <v>1.1574074074075305E-5</v>
      </c>
      <c r="I12" s="59">
        <f t="shared" si="5"/>
        <v>54.55</v>
      </c>
      <c r="J12" s="70"/>
      <c r="K12" s="179"/>
      <c r="L12" s="96">
        <f t="shared" si="9"/>
        <v>5.2199074074074083E-3</v>
      </c>
      <c r="M12" s="43">
        <f t="shared" si="6"/>
        <v>58</v>
      </c>
      <c r="N12" s="150">
        <v>0.76729999999999998</v>
      </c>
      <c r="O12" s="43">
        <f t="shared" si="7"/>
        <v>7</v>
      </c>
      <c r="Q12" s="179"/>
      <c r="R12" s="43">
        <v>11</v>
      </c>
      <c r="S12" s="68" t="s">
        <v>46</v>
      </c>
      <c r="T12" s="96">
        <v>5.1041666666666666E-3</v>
      </c>
      <c r="U12" s="93">
        <f t="shared" si="8"/>
        <v>2.5520833333333333E-3</v>
      </c>
      <c r="V12" s="168"/>
      <c r="W12" s="73">
        <v>12</v>
      </c>
      <c r="X12" s="72" t="s">
        <v>191</v>
      </c>
      <c r="Y12" s="150">
        <v>0.74639999999999995</v>
      </c>
      <c r="Z12" s="113">
        <v>22192</v>
      </c>
    </row>
    <row r="13" spans="1:26" ht="16.5" customHeight="1" x14ac:dyDescent="0.2">
      <c r="A13" s="43">
        <f t="shared" si="10"/>
        <v>12</v>
      </c>
      <c r="B13" s="43">
        <f t="shared" si="1"/>
        <v>7</v>
      </c>
      <c r="C13" s="68" t="s">
        <v>396</v>
      </c>
      <c r="D13" s="193">
        <v>4.7453703703703703E-3</v>
      </c>
      <c r="E13" s="227">
        <f t="shared" si="2"/>
        <v>1.3310185185185187E-3</v>
      </c>
      <c r="F13" s="96">
        <v>4.7685185185185183E-3</v>
      </c>
      <c r="G13" s="96">
        <f t="shared" si="3"/>
        <v>6.099537037037037E-3</v>
      </c>
      <c r="H13" s="228">
        <f t="shared" si="4"/>
        <v>2.3148148148148008E-5</v>
      </c>
      <c r="I13" s="59">
        <f t="shared" si="5"/>
        <v>50</v>
      </c>
      <c r="J13" s="70"/>
      <c r="K13" s="179"/>
      <c r="L13" s="96">
        <f t="shared" si="9"/>
        <v>4.7685185185185183E-3</v>
      </c>
      <c r="M13" s="73">
        <f t="shared" si="6"/>
        <v>46</v>
      </c>
      <c r="N13" s="150">
        <v>0.76139999999999997</v>
      </c>
      <c r="O13" s="43">
        <f t="shared" si="7"/>
        <v>8</v>
      </c>
      <c r="Q13" s="179"/>
      <c r="R13" s="43">
        <v>12</v>
      </c>
      <c r="S13" s="68" t="s">
        <v>169</v>
      </c>
      <c r="T13" s="96">
        <v>5.1736111111111106E-3</v>
      </c>
      <c r="U13" s="93">
        <f t="shared" si="8"/>
        <v>2.5868055555555553E-3</v>
      </c>
      <c r="V13" s="168"/>
      <c r="W13" s="73">
        <v>11</v>
      </c>
      <c r="X13" s="72" t="s">
        <v>104</v>
      </c>
      <c r="Y13" s="150">
        <v>0.73550000000000004</v>
      </c>
      <c r="Z13" s="113">
        <v>26857</v>
      </c>
    </row>
    <row r="14" spans="1:26" ht="16.5" customHeight="1" x14ac:dyDescent="0.2">
      <c r="A14" s="43">
        <f t="shared" si="10"/>
        <v>13</v>
      </c>
      <c r="B14" s="43">
        <f t="shared" si="1"/>
        <v>5</v>
      </c>
      <c r="C14" s="68" t="s">
        <v>347</v>
      </c>
      <c r="D14" s="193">
        <v>4.6874999999999998E-3</v>
      </c>
      <c r="E14" s="227">
        <f t="shared" si="2"/>
        <v>1.3888888888888892E-3</v>
      </c>
      <c r="F14" s="96">
        <v>4.7222222222222223E-3</v>
      </c>
      <c r="G14" s="96">
        <f t="shared" si="3"/>
        <v>6.1111111111111114E-3</v>
      </c>
      <c r="H14" s="228">
        <f t="shared" si="4"/>
        <v>3.4722222222222446E-5</v>
      </c>
      <c r="I14" s="59">
        <f t="shared" si="5"/>
        <v>45.45</v>
      </c>
      <c r="J14" s="70"/>
      <c r="K14" s="179"/>
      <c r="L14" s="96">
        <f t="shared" si="9"/>
        <v>4.7222222222222223E-3</v>
      </c>
      <c r="M14" s="43">
        <f t="shared" si="6"/>
        <v>50</v>
      </c>
      <c r="N14" s="150">
        <v>0.79349999999999998</v>
      </c>
      <c r="O14" s="43">
        <f t="shared" si="7"/>
        <v>5</v>
      </c>
      <c r="Q14" s="179"/>
      <c r="R14" s="43">
        <v>13</v>
      </c>
      <c r="S14" s="68" t="s">
        <v>77</v>
      </c>
      <c r="T14" s="96">
        <v>5.2199074074074083E-3</v>
      </c>
      <c r="U14" s="93">
        <f t="shared" si="8"/>
        <v>2.6099537037037042E-3</v>
      </c>
      <c r="V14" s="168"/>
      <c r="W14" s="73">
        <v>14</v>
      </c>
      <c r="X14" s="72" t="s">
        <v>258</v>
      </c>
      <c r="Y14" s="150">
        <v>0.72719999999999996</v>
      </c>
      <c r="Z14" s="113">
        <v>25147</v>
      </c>
    </row>
    <row r="15" spans="1:26" ht="16.5" customHeight="1" x14ac:dyDescent="0.2">
      <c r="A15" s="43">
        <f t="shared" si="10"/>
        <v>14</v>
      </c>
      <c r="B15" s="43">
        <f t="shared" si="1"/>
        <v>11</v>
      </c>
      <c r="C15" s="68" t="s">
        <v>46</v>
      </c>
      <c r="D15" s="193">
        <v>5.0347222222222225E-3</v>
      </c>
      <c r="E15" s="227">
        <f t="shared" si="2"/>
        <v>1.0416666666666664E-3</v>
      </c>
      <c r="F15" s="96">
        <v>5.1041666666666666E-3</v>
      </c>
      <c r="G15" s="96">
        <f t="shared" si="3"/>
        <v>6.145833333333333E-3</v>
      </c>
      <c r="H15" s="228">
        <f t="shared" si="4"/>
        <v>6.9444444444444024E-5</v>
      </c>
      <c r="I15" s="59">
        <f t="shared" si="5"/>
        <v>40.909999999999997</v>
      </c>
      <c r="J15" s="70"/>
      <c r="K15" s="179"/>
      <c r="L15" s="96">
        <f t="shared" si="9"/>
        <v>5.1041666666666666E-3</v>
      </c>
      <c r="M15" s="43">
        <f t="shared" si="6"/>
        <v>41</v>
      </c>
      <c r="N15" s="150">
        <v>0.68459999999999999</v>
      </c>
      <c r="O15" s="43">
        <f t="shared" si="7"/>
        <v>16</v>
      </c>
      <c r="Q15" s="179"/>
      <c r="R15" s="43">
        <v>14</v>
      </c>
      <c r="S15" s="72" t="s">
        <v>125</v>
      </c>
      <c r="T15" s="96">
        <v>5.2430555555555555E-3</v>
      </c>
      <c r="U15" s="93">
        <f t="shared" si="8"/>
        <v>2.6215277777777777E-3</v>
      </c>
      <c r="V15" s="168"/>
      <c r="W15" s="73">
        <v>13</v>
      </c>
      <c r="X15" s="68" t="s">
        <v>169</v>
      </c>
      <c r="Y15" s="150">
        <v>0.70730000000000004</v>
      </c>
      <c r="Z15" s="113">
        <v>28398</v>
      </c>
    </row>
    <row r="16" spans="1:26" ht="16.5" customHeight="1" x14ac:dyDescent="0.2">
      <c r="A16" s="43">
        <f t="shared" si="10"/>
        <v>15</v>
      </c>
      <c r="B16" s="43">
        <f t="shared" si="1"/>
        <v>17</v>
      </c>
      <c r="C16" s="68" t="s">
        <v>124</v>
      </c>
      <c r="D16" s="193">
        <v>5.3240740740740748E-3</v>
      </c>
      <c r="E16" s="227">
        <f t="shared" si="2"/>
        <v>7.5231481481481417E-4</v>
      </c>
      <c r="F16" s="96">
        <v>5.4050925925925933E-3</v>
      </c>
      <c r="G16" s="96">
        <f t="shared" si="3"/>
        <v>6.1574074074074074E-3</v>
      </c>
      <c r="H16" s="228">
        <f t="shared" si="4"/>
        <v>8.1018518518518462E-5</v>
      </c>
      <c r="I16" s="59">
        <f t="shared" si="5"/>
        <v>36.36</v>
      </c>
      <c r="J16" s="70"/>
      <c r="K16" s="179"/>
      <c r="L16" s="96">
        <f t="shared" si="9"/>
        <v>5.4050925925925933E-3</v>
      </c>
      <c r="M16" s="43">
        <f t="shared" si="6"/>
        <v>44</v>
      </c>
      <c r="N16" s="150">
        <v>0.66139999999999999</v>
      </c>
      <c r="O16" s="43">
        <f t="shared" si="7"/>
        <v>21</v>
      </c>
      <c r="Q16" s="179"/>
      <c r="R16" s="43">
        <v>15</v>
      </c>
      <c r="S16" s="72" t="s">
        <v>184</v>
      </c>
      <c r="T16" s="96">
        <v>5.2893518518518515E-3</v>
      </c>
      <c r="U16" s="93">
        <f t="shared" si="8"/>
        <v>2.6446759259259258E-3</v>
      </c>
      <c r="V16" s="168"/>
      <c r="W16" s="73">
        <v>15</v>
      </c>
      <c r="X16" s="68" t="s">
        <v>107</v>
      </c>
      <c r="Y16" s="150">
        <v>0.69550000000000001</v>
      </c>
      <c r="Z16" s="113">
        <v>27347</v>
      </c>
    </row>
    <row r="17" spans="1:26" ht="16.5" customHeight="1" x14ac:dyDescent="0.2">
      <c r="A17" s="43">
        <f t="shared" si="10"/>
        <v>16</v>
      </c>
      <c r="B17" s="43">
        <f t="shared" si="1"/>
        <v>8</v>
      </c>
      <c r="C17" s="68" t="s">
        <v>173</v>
      </c>
      <c r="D17" s="193">
        <v>4.8032407407407407E-3</v>
      </c>
      <c r="E17" s="227">
        <f t="shared" si="2"/>
        <v>1.2731481481481483E-3</v>
      </c>
      <c r="F17" s="96">
        <v>4.9305555555555552E-3</v>
      </c>
      <c r="G17" s="96">
        <f t="shared" si="3"/>
        <v>6.2037037037037035E-3</v>
      </c>
      <c r="H17" s="228">
        <f t="shared" si="4"/>
        <v>1.2731481481481448E-4</v>
      </c>
      <c r="I17" s="59">
        <f t="shared" si="5"/>
        <v>31.82</v>
      </c>
      <c r="J17" s="70"/>
      <c r="K17" s="179"/>
      <c r="L17" s="96">
        <f t="shared" si="9"/>
        <v>4.9305555555555552E-3</v>
      </c>
      <c r="M17" s="43">
        <f t="shared" si="6"/>
        <v>34</v>
      </c>
      <c r="N17" s="150">
        <v>0.67559999999999998</v>
      </c>
      <c r="O17" s="43">
        <f t="shared" si="7"/>
        <v>18</v>
      </c>
      <c r="Q17" s="179"/>
      <c r="R17" s="43">
        <v>16</v>
      </c>
      <c r="S17" s="68" t="s">
        <v>351</v>
      </c>
      <c r="T17" s="96">
        <v>5.3009259259259259E-3</v>
      </c>
      <c r="U17" s="93">
        <f t="shared" si="8"/>
        <v>2.650462962962963E-3</v>
      </c>
      <c r="V17" s="168"/>
      <c r="W17" s="73">
        <v>16</v>
      </c>
      <c r="X17" s="68" t="s">
        <v>46</v>
      </c>
      <c r="Y17" s="150">
        <v>0.68459999999999999</v>
      </c>
      <c r="Z17" s="113">
        <v>30976</v>
      </c>
    </row>
    <row r="18" spans="1:26" ht="16.5" customHeight="1" x14ac:dyDescent="0.2">
      <c r="A18" s="43">
        <f t="shared" si="10"/>
        <v>17</v>
      </c>
      <c r="B18" s="43">
        <f t="shared" si="1"/>
        <v>4</v>
      </c>
      <c r="C18" s="72" t="s">
        <v>99</v>
      </c>
      <c r="D18" s="193">
        <v>4.5717592592592589E-3</v>
      </c>
      <c r="E18" s="227">
        <f t="shared" si="2"/>
        <v>1.5046296296296301E-3</v>
      </c>
      <c r="F18" s="96">
        <v>4.710648148148147E-3</v>
      </c>
      <c r="G18" s="96">
        <f t="shared" si="3"/>
        <v>6.215277777777777E-3</v>
      </c>
      <c r="H18" s="228">
        <f t="shared" si="4"/>
        <v>1.3888888888888805E-4</v>
      </c>
      <c r="I18" s="59">
        <f t="shared" si="5"/>
        <v>27.27</v>
      </c>
      <c r="J18" s="70"/>
      <c r="K18" s="179"/>
      <c r="L18" s="96">
        <f t="shared" si="9"/>
        <v>4.710648148148147E-3</v>
      </c>
      <c r="M18" s="43">
        <f t="shared" si="6"/>
        <v>52</v>
      </c>
      <c r="N18" s="150">
        <v>0.8085</v>
      </c>
      <c r="O18" s="43">
        <f t="shared" si="7"/>
        <v>3</v>
      </c>
      <c r="Q18" s="179"/>
      <c r="R18" s="43">
        <v>17</v>
      </c>
      <c r="S18" s="68" t="s">
        <v>124</v>
      </c>
      <c r="T18" s="96">
        <v>5.4050925925925933E-3</v>
      </c>
      <c r="U18" s="93">
        <f t="shared" si="8"/>
        <v>2.7025462962962966E-3</v>
      </c>
      <c r="V18" s="168"/>
      <c r="W18" s="73">
        <v>17</v>
      </c>
      <c r="X18" s="68" t="s">
        <v>47</v>
      </c>
      <c r="Y18" s="150">
        <v>0.67620000000000002</v>
      </c>
      <c r="Z18" s="113">
        <v>24643</v>
      </c>
    </row>
    <row r="19" spans="1:26" ht="16.5" customHeight="1" x14ac:dyDescent="0.2">
      <c r="A19" s="43">
        <v>17</v>
      </c>
      <c r="B19" s="43">
        <f t="shared" si="1"/>
        <v>9</v>
      </c>
      <c r="C19" s="72" t="s">
        <v>258</v>
      </c>
      <c r="D19" s="193">
        <v>4.8032407407407407E-3</v>
      </c>
      <c r="E19" s="227">
        <f t="shared" si="2"/>
        <v>1.2731481481481483E-3</v>
      </c>
      <c r="F19" s="96">
        <v>4.9537037037037041E-3</v>
      </c>
      <c r="G19" s="96">
        <f t="shared" si="3"/>
        <v>6.2268518518518523E-3</v>
      </c>
      <c r="H19" s="228">
        <f t="shared" si="4"/>
        <v>1.5046296296296335E-4</v>
      </c>
      <c r="I19" s="59">
        <f t="shared" si="5"/>
        <v>27.27</v>
      </c>
      <c r="J19" s="70"/>
      <c r="K19" s="179"/>
      <c r="L19" s="96">
        <f t="shared" si="9"/>
        <v>4.9537037037037041E-3</v>
      </c>
      <c r="M19" s="43">
        <f t="shared" si="6"/>
        <v>45</v>
      </c>
      <c r="N19" s="150">
        <v>0.72719999999999996</v>
      </c>
      <c r="O19" s="43">
        <f t="shared" si="7"/>
        <v>13</v>
      </c>
      <c r="Q19" s="179"/>
      <c r="R19" s="43">
        <v>18</v>
      </c>
      <c r="S19" s="68" t="s">
        <v>47</v>
      </c>
      <c r="T19" s="96">
        <v>5.4976851851851853E-3</v>
      </c>
      <c r="U19" s="93">
        <f t="shared" si="8"/>
        <v>2.7488425925925927E-3</v>
      </c>
      <c r="V19" s="168"/>
      <c r="W19" s="73">
        <v>18</v>
      </c>
      <c r="X19" s="68" t="s">
        <v>173</v>
      </c>
      <c r="Y19" s="150">
        <v>0.67559999999999998</v>
      </c>
      <c r="Z19" s="113">
        <v>27236</v>
      </c>
    </row>
    <row r="20" spans="1:26" ht="16.5" customHeight="1" x14ac:dyDescent="0.2">
      <c r="A20" s="43">
        <f>RANK(G20,$G$2:$G$23,1)</f>
        <v>19</v>
      </c>
      <c r="B20" s="43">
        <f t="shared" si="1"/>
        <v>18</v>
      </c>
      <c r="C20" s="68" t="s">
        <v>47</v>
      </c>
      <c r="D20" s="193">
        <v>5.3240740740740748E-3</v>
      </c>
      <c r="E20" s="227">
        <f t="shared" si="2"/>
        <v>7.5231481481481417E-4</v>
      </c>
      <c r="F20" s="96">
        <v>5.4976851851851853E-3</v>
      </c>
      <c r="G20" s="96">
        <f t="shared" si="3"/>
        <v>6.2499999999999995E-3</v>
      </c>
      <c r="H20" s="228">
        <f t="shared" si="4"/>
        <v>1.7361111111111049E-4</v>
      </c>
      <c r="I20" s="59">
        <f t="shared" si="5"/>
        <v>18.18</v>
      </c>
      <c r="J20" s="70"/>
      <c r="K20" s="179"/>
      <c r="L20" s="96">
        <f t="shared" si="9"/>
        <v>5.4976851851851853E-3</v>
      </c>
      <c r="M20" s="43">
        <f t="shared" si="6"/>
        <v>49</v>
      </c>
      <c r="N20" s="150">
        <v>0.67620000000000002</v>
      </c>
      <c r="O20" s="43">
        <f t="shared" si="7"/>
        <v>17</v>
      </c>
      <c r="Q20" s="179"/>
      <c r="R20" s="43">
        <v>19</v>
      </c>
      <c r="S20" s="68" t="s">
        <v>107</v>
      </c>
      <c r="T20" s="96">
        <v>5.5208333333333333E-3</v>
      </c>
      <c r="U20" s="93">
        <f t="shared" si="8"/>
        <v>2.7604166666666667E-3</v>
      </c>
      <c r="V20" s="168"/>
      <c r="W20" s="73">
        <v>19</v>
      </c>
      <c r="X20" s="72" t="s">
        <v>33</v>
      </c>
      <c r="Y20" s="150">
        <v>0.67269999999999996</v>
      </c>
      <c r="Z20" s="113">
        <v>25493</v>
      </c>
    </row>
    <row r="21" spans="1:26" ht="16.5" customHeight="1" x14ac:dyDescent="0.2">
      <c r="A21" s="43">
        <f>RANK(G21,$G$2:$G$23,1)</f>
        <v>20</v>
      </c>
      <c r="B21" s="43">
        <f t="shared" si="1"/>
        <v>15</v>
      </c>
      <c r="C21" s="72" t="s">
        <v>184</v>
      </c>
      <c r="D21" s="193">
        <v>4.9768518518518521E-3</v>
      </c>
      <c r="E21" s="227">
        <f t="shared" si="2"/>
        <v>1.0995370370370369E-3</v>
      </c>
      <c r="F21" s="96">
        <v>5.2893518518518515E-3</v>
      </c>
      <c r="G21" s="96">
        <f t="shared" si="3"/>
        <v>6.3888888888888884E-3</v>
      </c>
      <c r="H21" s="228">
        <f t="shared" si="4"/>
        <v>3.1249999999999941E-4</v>
      </c>
      <c r="I21" s="59">
        <f t="shared" si="5"/>
        <v>13.64</v>
      </c>
      <c r="J21" s="70"/>
      <c r="K21" s="179"/>
      <c r="L21" s="96">
        <f t="shared" si="9"/>
        <v>5.2893518518518515E-3</v>
      </c>
      <c r="M21" s="43">
        <f t="shared" si="6"/>
        <v>57</v>
      </c>
      <c r="N21" s="150">
        <v>0.75080000000000002</v>
      </c>
      <c r="O21" s="43">
        <f t="shared" si="7"/>
        <v>10</v>
      </c>
      <c r="Q21" s="179"/>
      <c r="R21" s="43">
        <v>20</v>
      </c>
      <c r="S21" s="72" t="s">
        <v>33</v>
      </c>
      <c r="T21" s="96">
        <v>5.8217592592592583E-3</v>
      </c>
      <c r="U21" s="93">
        <f t="shared" si="8"/>
        <v>2.9108796296296291E-3</v>
      </c>
      <c r="V21" s="168"/>
      <c r="W21" s="73">
        <v>20</v>
      </c>
      <c r="X21" s="68" t="s">
        <v>351</v>
      </c>
      <c r="Y21" s="150">
        <v>0.66920000000000002</v>
      </c>
      <c r="Z21" s="113">
        <v>22837</v>
      </c>
    </row>
    <row r="22" spans="1:26" ht="16.5" customHeight="1" x14ac:dyDescent="0.2">
      <c r="A22" s="43">
        <f>RANK(G22,$G$2:$G$23,1)</f>
        <v>21</v>
      </c>
      <c r="B22" s="43">
        <f t="shared" si="1"/>
        <v>19</v>
      </c>
      <c r="C22" s="68" t="s">
        <v>107</v>
      </c>
      <c r="D22" s="193">
        <v>4.8032407407407407E-3</v>
      </c>
      <c r="E22" s="227">
        <f t="shared" si="2"/>
        <v>1.2731481481481483E-3</v>
      </c>
      <c r="F22" s="96">
        <v>5.5208333333333333E-3</v>
      </c>
      <c r="G22" s="96">
        <f t="shared" si="3"/>
        <v>6.7939814814814816E-3</v>
      </c>
      <c r="H22" s="228">
        <f t="shared" si="4"/>
        <v>7.1759259259259259E-4</v>
      </c>
      <c r="I22" s="59">
        <f t="shared" si="5"/>
        <v>9.09</v>
      </c>
      <c r="J22" s="70"/>
      <c r="K22" s="179"/>
      <c r="L22" s="96">
        <f t="shared" si="9"/>
        <v>5.5208333333333333E-3</v>
      </c>
      <c r="M22" s="43">
        <f t="shared" si="6"/>
        <v>53</v>
      </c>
      <c r="N22" s="150">
        <v>0.69550000000000001</v>
      </c>
      <c r="O22" s="43">
        <f t="shared" si="7"/>
        <v>15</v>
      </c>
      <c r="Q22" s="179"/>
      <c r="R22" s="43">
        <v>21</v>
      </c>
      <c r="S22" s="72" t="s">
        <v>104</v>
      </c>
      <c r="T22" s="96">
        <v>5.9027777777777776E-3</v>
      </c>
      <c r="U22" s="93">
        <f t="shared" si="8"/>
        <v>2.9513888888888888E-3</v>
      </c>
      <c r="V22" s="168"/>
      <c r="W22" s="73">
        <v>21</v>
      </c>
      <c r="X22" s="68" t="s">
        <v>124</v>
      </c>
      <c r="Y22" s="150">
        <v>0.66139999999999999</v>
      </c>
      <c r="Z22" s="113">
        <v>24057</v>
      </c>
    </row>
    <row r="23" spans="1:26" ht="16.5" customHeight="1" x14ac:dyDescent="0.2">
      <c r="A23" s="43">
        <f>RANK(G23,$G$2:$G$23,1)</f>
        <v>22</v>
      </c>
      <c r="B23" s="43">
        <f t="shared" si="1"/>
        <v>22</v>
      </c>
      <c r="C23" s="68" t="s">
        <v>404</v>
      </c>
      <c r="D23" s="193">
        <v>5.5555555555555558E-3</v>
      </c>
      <c r="E23" s="227">
        <f t="shared" si="2"/>
        <v>5.2083333333333322E-4</v>
      </c>
      <c r="F23" s="96">
        <v>6.6435185185185182E-3</v>
      </c>
      <c r="G23" s="96">
        <f t="shared" si="3"/>
        <v>7.1643518518518514E-3</v>
      </c>
      <c r="H23" s="228">
        <f t="shared" si="4"/>
        <v>1.0879629629629625E-3</v>
      </c>
      <c r="I23" s="59">
        <f t="shared" si="5"/>
        <v>4.55</v>
      </c>
      <c r="J23" s="70"/>
      <c r="K23" s="179"/>
      <c r="L23" s="96">
        <f t="shared" si="9"/>
        <v>6.6435185185185182E-3</v>
      </c>
      <c r="M23" s="43">
        <f t="shared" si="6"/>
        <v>46</v>
      </c>
      <c r="N23" s="150">
        <v>0.63039999999999996</v>
      </c>
      <c r="O23" s="43">
        <f t="shared" si="7"/>
        <v>22</v>
      </c>
      <c r="Q23" s="179"/>
      <c r="R23" s="43">
        <v>22</v>
      </c>
      <c r="S23" s="68" t="s">
        <v>404</v>
      </c>
      <c r="T23" s="96">
        <v>6.6435185185185182E-3</v>
      </c>
      <c r="U23" s="93">
        <f t="shared" si="8"/>
        <v>3.3217592592592591E-3</v>
      </c>
      <c r="V23" s="168"/>
      <c r="W23" s="73">
        <v>22</v>
      </c>
      <c r="X23" s="68" t="s">
        <v>404</v>
      </c>
      <c r="Y23" s="150">
        <v>0.63039999999999996</v>
      </c>
      <c r="Z23" s="113">
        <v>26592</v>
      </c>
    </row>
    <row r="24" spans="1:26" x14ac:dyDescent="0.2">
      <c r="R24" s="98"/>
      <c r="S24" s="98"/>
    </row>
    <row r="25" spans="1:26" ht="17.25" customHeight="1" x14ac:dyDescent="0.2">
      <c r="A25" s="43" t="s">
        <v>25</v>
      </c>
      <c r="B25" s="60">
        <v>22</v>
      </c>
    </row>
    <row r="26" spans="1:26" ht="17.25" customHeight="1" x14ac:dyDescent="0.2"/>
    <row r="27" spans="1:26" ht="17.25" customHeight="1" x14ac:dyDescent="0.2">
      <c r="A27" s="43" t="s">
        <v>15</v>
      </c>
      <c r="B27" s="43">
        <v>1</v>
      </c>
      <c r="C27" s="42" t="s">
        <v>375</v>
      </c>
      <c r="D27" s="112" t="s">
        <v>478</v>
      </c>
      <c r="I27" s="43">
        <v>0</v>
      </c>
    </row>
    <row r="28" spans="1:26" ht="17.25" customHeight="1" x14ac:dyDescent="0.2">
      <c r="B28" s="43">
        <v>2</v>
      </c>
      <c r="C28" s="42" t="s">
        <v>246</v>
      </c>
      <c r="D28" s="112" t="s">
        <v>479</v>
      </c>
      <c r="I28" s="43">
        <v>0</v>
      </c>
    </row>
    <row r="29" spans="1:26" ht="17.25" customHeight="1" x14ac:dyDescent="0.2">
      <c r="B29" s="43">
        <v>3</v>
      </c>
      <c r="C29" s="42" t="s">
        <v>156</v>
      </c>
      <c r="D29" s="112"/>
      <c r="I29" s="43">
        <f t="shared" ref="I29:I30" si="11">ROUND(100-((100/$B$25)*(ROUNDUP($B$25*0.4,0)-1)),2)</f>
        <v>63.64</v>
      </c>
    </row>
    <row r="30" spans="1:26" ht="17.25" customHeight="1" x14ac:dyDescent="0.2">
      <c r="B30" s="43">
        <v>4</v>
      </c>
      <c r="C30" s="42" t="s">
        <v>477</v>
      </c>
      <c r="D30" s="112"/>
      <c r="I30" s="43">
        <f t="shared" si="11"/>
        <v>63.64</v>
      </c>
    </row>
    <row r="32" spans="1:26" x14ac:dyDescent="0.2">
      <c r="H32" t="s">
        <v>28</v>
      </c>
      <c r="I32" s="59">
        <f>SUM(I2:I30)</f>
        <v>1290.9000000000001</v>
      </c>
    </row>
  </sheetData>
  <sheetProtection algorithmName="SHA-512" hashValue="ncFgP53/AZe0qiisDKBjsre06XAUNXSXh9L+8pkI3YNvXH4Z4jIG0hFgf0W1WzlO/Y3MhYcMQqIqvFWLsZwF+g==" saltValue="VqZ8EgMIAxj5SP/FGKOnkg==" spinCount="100000" sheet="1" objects="1" scenarios="1"/>
  <sortState xmlns:xlrd2="http://schemas.microsoft.com/office/spreadsheetml/2017/richdata2" ref="X2:Y23">
    <sortCondition descending="1" ref="Y2:Y23"/>
  </sortState>
  <pageMargins left="0.7" right="0.7" top="0.75" bottom="0.75" header="0.3" footer="0.3"/>
  <pageSetup paperSize="9" orientation="portrait" r:id="rId1"/>
  <ignoredErrors>
    <ignoredError sqref="F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Q25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9" width="10.85546875" customWidth="1"/>
    <col min="10" max="10" width="7.140625" hidden="1" customWidth="1"/>
    <col min="12" max="12" width="11.28515625" customWidth="1"/>
    <col min="13" max="13" width="24.140625" customWidth="1"/>
    <col min="14" max="15" width="10.85546875" customWidth="1"/>
    <col min="17" max="17" width="20.85546875" customWidth="1"/>
  </cols>
  <sheetData>
    <row r="1" spans="1:17" ht="37.5" customHeight="1" x14ac:dyDescent="0.2">
      <c r="A1" s="165" t="s">
        <v>5</v>
      </c>
      <c r="B1" s="165" t="s">
        <v>6</v>
      </c>
      <c r="C1" s="165" t="s">
        <v>7</v>
      </c>
      <c r="D1" s="165" t="s">
        <v>16</v>
      </c>
      <c r="E1" s="165" t="s">
        <v>8</v>
      </c>
      <c r="F1" s="165" t="s">
        <v>19</v>
      </c>
      <c r="G1" s="165" t="s">
        <v>18</v>
      </c>
      <c r="H1" s="165" t="s">
        <v>14</v>
      </c>
      <c r="I1" s="165" t="s">
        <v>9</v>
      </c>
      <c r="J1" s="132">
        <v>1.3194444444444444E-2</v>
      </c>
      <c r="L1" s="159" t="s">
        <v>6</v>
      </c>
      <c r="M1" s="159" t="s">
        <v>7</v>
      </c>
      <c r="N1" s="159" t="s">
        <v>19</v>
      </c>
      <c r="O1" s="159" t="s">
        <v>275</v>
      </c>
    </row>
    <row r="2" spans="1:17" ht="16.5" customHeight="1" x14ac:dyDescent="0.2">
      <c r="A2" s="43">
        <f t="shared" ref="A2:A17" si="0">RANK(G2,$G$2:$G$17,1)</f>
        <v>1</v>
      </c>
      <c r="B2" s="43">
        <f t="shared" ref="B2:B17" si="1">RANK(F2,$F$2:$F$17,1)</f>
        <v>6</v>
      </c>
      <c r="C2" s="42" t="s">
        <v>90</v>
      </c>
      <c r="D2" s="95">
        <v>1.0127314814814815E-2</v>
      </c>
      <c r="E2" s="95">
        <f t="shared" ref="E2:E17" si="2">$J$1-D2</f>
        <v>3.0671296296296297E-3</v>
      </c>
      <c r="F2" s="95">
        <v>9.8495370370370369E-3</v>
      </c>
      <c r="G2" s="92">
        <f t="shared" ref="G2:G17" si="3">E2+F2</f>
        <v>1.2916666666666667E-2</v>
      </c>
      <c r="H2" s="153">
        <f t="shared" ref="H2:H17" si="4">IF(F2&gt;D2,F2-D2,D2-F2)</f>
        <v>2.7777777777777783E-4</v>
      </c>
      <c r="I2" s="59">
        <f t="shared" ref="I2:I17" si="5">ROUND(100-((100/$B$19)*(A2-1)),2)</f>
        <v>100</v>
      </c>
      <c r="L2" s="43">
        <v>1</v>
      </c>
      <c r="M2" s="42" t="s">
        <v>81</v>
      </c>
      <c r="N2" s="95">
        <v>8.7037037037037031E-3</v>
      </c>
      <c r="O2" s="93">
        <f t="shared" ref="O2:O17" si="6">N2/3.81</f>
        <v>2.2844366676387671E-3</v>
      </c>
      <c r="P2" s="122"/>
      <c r="Q2" s="123"/>
    </row>
    <row r="3" spans="1:17" ht="16.5" customHeight="1" x14ac:dyDescent="0.2">
      <c r="A3" s="43">
        <f t="shared" si="0"/>
        <v>2</v>
      </c>
      <c r="B3" s="43">
        <f t="shared" si="1"/>
        <v>5</v>
      </c>
      <c r="C3" s="42" t="s">
        <v>59</v>
      </c>
      <c r="D3" s="95">
        <v>1.0011574074074074E-2</v>
      </c>
      <c r="E3" s="95">
        <f t="shared" si="2"/>
        <v>3.1828703703703706E-3</v>
      </c>
      <c r="F3" s="95">
        <v>9.8148148148148144E-3</v>
      </c>
      <c r="G3" s="92">
        <f t="shared" si="3"/>
        <v>1.2997685185185185E-2</v>
      </c>
      <c r="H3" s="153">
        <f t="shared" si="4"/>
        <v>1.9675925925925937E-4</v>
      </c>
      <c r="I3" s="59">
        <f t="shared" si="5"/>
        <v>93.75</v>
      </c>
      <c r="L3" s="43">
        <v>2</v>
      </c>
      <c r="M3" s="42" t="s">
        <v>139</v>
      </c>
      <c r="N3" s="95">
        <v>8.8888888888888889E-3</v>
      </c>
      <c r="O3" s="93">
        <f t="shared" si="6"/>
        <v>2.3330417031204431E-3</v>
      </c>
      <c r="P3" s="122"/>
      <c r="Q3" s="123"/>
    </row>
    <row r="4" spans="1:17" ht="16.5" customHeight="1" x14ac:dyDescent="0.2">
      <c r="A4" s="43">
        <f t="shared" si="0"/>
        <v>3</v>
      </c>
      <c r="B4" s="43">
        <f t="shared" si="1"/>
        <v>1</v>
      </c>
      <c r="C4" s="42" t="s">
        <v>81</v>
      </c>
      <c r="D4" s="95">
        <v>8.7962962962962968E-3</v>
      </c>
      <c r="E4" s="95">
        <f t="shared" si="2"/>
        <v>4.3981481481481476E-3</v>
      </c>
      <c r="F4" s="95">
        <v>8.7037037037037031E-3</v>
      </c>
      <c r="G4" s="92">
        <f t="shared" si="3"/>
        <v>1.3101851851851851E-2</v>
      </c>
      <c r="H4" s="153">
        <f t="shared" si="4"/>
        <v>9.2592592592593767E-5</v>
      </c>
      <c r="I4" s="59">
        <f t="shared" si="5"/>
        <v>87.5</v>
      </c>
      <c r="L4" s="43">
        <v>3</v>
      </c>
      <c r="M4" s="42" t="s">
        <v>396</v>
      </c>
      <c r="N4" s="95">
        <v>9.6643518518518511E-3</v>
      </c>
      <c r="O4" s="93">
        <f t="shared" si="6"/>
        <v>2.536575289199961E-3</v>
      </c>
      <c r="P4" s="122"/>
      <c r="Q4" s="123"/>
    </row>
    <row r="5" spans="1:17" ht="16.5" customHeight="1" x14ac:dyDescent="0.2">
      <c r="A5" s="43">
        <f t="shared" si="0"/>
        <v>4</v>
      </c>
      <c r="B5" s="43">
        <f t="shared" si="1"/>
        <v>2</v>
      </c>
      <c r="C5" s="42" t="s">
        <v>139</v>
      </c>
      <c r="D5" s="95">
        <v>8.9699074074074073E-3</v>
      </c>
      <c r="E5" s="95">
        <f t="shared" si="2"/>
        <v>4.2245370370370371E-3</v>
      </c>
      <c r="F5" s="95">
        <v>8.8888888888888889E-3</v>
      </c>
      <c r="G5" s="92">
        <f t="shared" si="3"/>
        <v>1.3113425925925926E-2</v>
      </c>
      <c r="H5" s="153">
        <f t="shared" si="4"/>
        <v>8.1018518518518462E-5</v>
      </c>
      <c r="I5" s="59">
        <f t="shared" si="5"/>
        <v>81.25</v>
      </c>
      <c r="L5" s="43">
        <v>4</v>
      </c>
      <c r="M5" s="42" t="s">
        <v>436</v>
      </c>
      <c r="N5" s="95">
        <v>9.7685185185185184E-3</v>
      </c>
      <c r="O5" s="93">
        <f t="shared" si="6"/>
        <v>2.563915621658404E-3</v>
      </c>
      <c r="P5" s="122"/>
      <c r="Q5" s="122"/>
    </row>
    <row r="6" spans="1:17" ht="16.5" customHeight="1" x14ac:dyDescent="0.2">
      <c r="A6" s="43">
        <f t="shared" si="0"/>
        <v>5</v>
      </c>
      <c r="B6" s="43">
        <f t="shared" si="1"/>
        <v>12</v>
      </c>
      <c r="C6" s="42" t="s">
        <v>41</v>
      </c>
      <c r="D6" s="95">
        <v>1.0763888888888891E-2</v>
      </c>
      <c r="E6" s="95">
        <f t="shared" si="2"/>
        <v>2.4305555555555539E-3</v>
      </c>
      <c r="F6" s="95">
        <v>1.074074074074074E-2</v>
      </c>
      <c r="G6" s="92">
        <f t="shared" si="3"/>
        <v>1.3171296296296294E-2</v>
      </c>
      <c r="H6" s="153">
        <f t="shared" si="4"/>
        <v>2.314814814815061E-5</v>
      </c>
      <c r="I6" s="59">
        <f t="shared" si="5"/>
        <v>75</v>
      </c>
      <c r="L6" s="43">
        <v>5</v>
      </c>
      <c r="M6" s="42" t="s">
        <v>59</v>
      </c>
      <c r="N6" s="95">
        <v>9.8148148148148144E-3</v>
      </c>
      <c r="O6" s="93">
        <f t="shared" si="6"/>
        <v>2.5760668805288227E-3</v>
      </c>
      <c r="P6" s="122"/>
      <c r="Q6" s="122"/>
    </row>
    <row r="7" spans="1:17" ht="16.5" customHeight="1" x14ac:dyDescent="0.2">
      <c r="A7" s="43">
        <f t="shared" si="0"/>
        <v>6</v>
      </c>
      <c r="B7" s="43">
        <f t="shared" si="1"/>
        <v>8</v>
      </c>
      <c r="C7" s="42" t="s">
        <v>321</v>
      </c>
      <c r="D7" s="95">
        <v>1.0069444444444445E-2</v>
      </c>
      <c r="E7" s="95">
        <f t="shared" si="2"/>
        <v>3.1249999999999993E-3</v>
      </c>
      <c r="F7" s="95">
        <v>1.0069444444444445E-2</v>
      </c>
      <c r="G7" s="92">
        <f t="shared" si="3"/>
        <v>1.3194444444444444E-2</v>
      </c>
      <c r="H7" s="153">
        <f t="shared" si="4"/>
        <v>0</v>
      </c>
      <c r="I7" s="59">
        <f t="shared" si="5"/>
        <v>68.75</v>
      </c>
      <c r="L7" s="43">
        <v>6</v>
      </c>
      <c r="M7" s="42" t="s">
        <v>90</v>
      </c>
      <c r="N7" s="95">
        <v>9.8495370370370369E-3</v>
      </c>
      <c r="O7" s="93">
        <f t="shared" si="6"/>
        <v>2.5851803246816369E-3</v>
      </c>
      <c r="P7" s="122"/>
      <c r="Q7" s="122"/>
    </row>
    <row r="8" spans="1:17" ht="16.5" customHeight="1" x14ac:dyDescent="0.2">
      <c r="A8" s="43">
        <f t="shared" si="0"/>
        <v>7</v>
      </c>
      <c r="B8" s="43">
        <f t="shared" si="1"/>
        <v>15</v>
      </c>
      <c r="C8" s="42" t="s">
        <v>256</v>
      </c>
      <c r="D8" s="95">
        <v>1.1111111111111112E-2</v>
      </c>
      <c r="E8" s="95">
        <f t="shared" si="2"/>
        <v>2.0833333333333329E-3</v>
      </c>
      <c r="F8" s="95">
        <v>1.1203703703703704E-2</v>
      </c>
      <c r="G8" s="92">
        <f t="shared" si="3"/>
        <v>1.3287037037037036E-2</v>
      </c>
      <c r="H8" s="228">
        <f t="shared" si="4"/>
        <v>9.2592592592592032E-5</v>
      </c>
      <c r="I8" s="59">
        <f t="shared" si="5"/>
        <v>62.5</v>
      </c>
      <c r="L8" s="43">
        <v>7</v>
      </c>
      <c r="M8" s="42" t="s">
        <v>173</v>
      </c>
      <c r="N8" s="95">
        <v>9.9421296296296289E-3</v>
      </c>
      <c r="O8" s="93">
        <f t="shared" si="6"/>
        <v>2.6094828424224749E-3</v>
      </c>
      <c r="P8" s="122"/>
      <c r="Q8" s="122"/>
    </row>
    <row r="9" spans="1:17" ht="16.5" customHeight="1" x14ac:dyDescent="0.2">
      <c r="A9" s="43">
        <f t="shared" si="0"/>
        <v>8</v>
      </c>
      <c r="B9" s="43">
        <f t="shared" si="1"/>
        <v>3</v>
      </c>
      <c r="C9" s="42" t="s">
        <v>396</v>
      </c>
      <c r="D9" s="95">
        <v>9.5486111111111101E-3</v>
      </c>
      <c r="E9" s="95">
        <f t="shared" si="2"/>
        <v>3.6458333333333343E-3</v>
      </c>
      <c r="F9" s="95">
        <v>9.6643518518518511E-3</v>
      </c>
      <c r="G9" s="92">
        <f t="shared" si="3"/>
        <v>1.3310185185185185E-2</v>
      </c>
      <c r="H9" s="228">
        <f t="shared" si="4"/>
        <v>1.1574074074074091E-4</v>
      </c>
      <c r="I9" s="59">
        <f t="shared" si="5"/>
        <v>56.25</v>
      </c>
      <c r="L9" s="43">
        <v>8</v>
      </c>
      <c r="M9" s="42" t="s">
        <v>321</v>
      </c>
      <c r="N9" s="95">
        <v>1.0069444444444445E-2</v>
      </c>
      <c r="O9" s="93">
        <f t="shared" si="6"/>
        <v>2.6428988043161275E-3</v>
      </c>
      <c r="P9" s="122"/>
      <c r="Q9" s="122"/>
    </row>
    <row r="10" spans="1:17" ht="16.5" customHeight="1" x14ac:dyDescent="0.2">
      <c r="A10" s="43">
        <f t="shared" si="0"/>
        <v>9</v>
      </c>
      <c r="B10" s="43">
        <f t="shared" si="1"/>
        <v>16</v>
      </c>
      <c r="C10" s="42" t="s">
        <v>103</v>
      </c>
      <c r="D10" s="95">
        <v>1.3194444444444444E-2</v>
      </c>
      <c r="E10" s="95">
        <f t="shared" si="2"/>
        <v>0</v>
      </c>
      <c r="F10" s="95">
        <v>1.3333333333333334E-2</v>
      </c>
      <c r="G10" s="92">
        <f t="shared" si="3"/>
        <v>1.3333333333333334E-2</v>
      </c>
      <c r="H10" s="228">
        <f t="shared" si="4"/>
        <v>1.3888888888888978E-4</v>
      </c>
      <c r="I10" s="59">
        <f t="shared" si="5"/>
        <v>50</v>
      </c>
      <c r="L10" s="43">
        <v>9</v>
      </c>
      <c r="M10" s="42" t="s">
        <v>46</v>
      </c>
      <c r="N10" s="95">
        <v>1.0300925925925927E-2</v>
      </c>
      <c r="O10" s="93">
        <f t="shared" si="6"/>
        <v>2.7036550986682222E-3</v>
      </c>
      <c r="P10" s="122"/>
      <c r="Q10" s="122"/>
    </row>
    <row r="11" spans="1:17" ht="16.5" customHeight="1" x14ac:dyDescent="0.2">
      <c r="A11" s="43">
        <f t="shared" si="0"/>
        <v>10</v>
      </c>
      <c r="B11" s="43">
        <f t="shared" si="1"/>
        <v>4</v>
      </c>
      <c r="C11" s="42" t="s">
        <v>436</v>
      </c>
      <c r="D11" s="95">
        <v>9.6064814814814815E-3</v>
      </c>
      <c r="E11" s="95">
        <f t="shared" si="2"/>
        <v>3.5879629629629629E-3</v>
      </c>
      <c r="F11" s="95">
        <v>9.7685185185185184E-3</v>
      </c>
      <c r="G11" s="92">
        <f t="shared" si="3"/>
        <v>1.3356481481481481E-2</v>
      </c>
      <c r="H11" s="228">
        <f t="shared" si="4"/>
        <v>1.6203703703703692E-4</v>
      </c>
      <c r="I11" s="59">
        <f t="shared" si="5"/>
        <v>43.75</v>
      </c>
      <c r="L11" s="43">
        <v>10</v>
      </c>
      <c r="M11" s="42" t="s">
        <v>98</v>
      </c>
      <c r="N11" s="95">
        <v>1.0358796296296295E-2</v>
      </c>
      <c r="O11" s="93">
        <f t="shared" si="6"/>
        <v>2.7188441722562455E-3</v>
      </c>
      <c r="P11" s="122"/>
      <c r="Q11" s="122"/>
    </row>
    <row r="12" spans="1:17" ht="16.5" customHeight="1" x14ac:dyDescent="0.2">
      <c r="A12" s="43">
        <f t="shared" si="0"/>
        <v>11</v>
      </c>
      <c r="B12" s="43">
        <f t="shared" si="1"/>
        <v>11</v>
      </c>
      <c r="C12" s="42" t="s">
        <v>124</v>
      </c>
      <c r="D12" s="95">
        <v>1.0532407407407407E-2</v>
      </c>
      <c r="E12" s="95">
        <f t="shared" si="2"/>
        <v>2.6620370370370374E-3</v>
      </c>
      <c r="F12" s="95">
        <v>1.0706018518518517E-2</v>
      </c>
      <c r="G12" s="92">
        <f t="shared" si="3"/>
        <v>1.3368055555555555E-2</v>
      </c>
      <c r="H12" s="228">
        <f t="shared" si="4"/>
        <v>1.7361111111111049E-4</v>
      </c>
      <c r="I12" s="59">
        <f t="shared" si="5"/>
        <v>37.5</v>
      </c>
      <c r="L12" s="43">
        <v>11</v>
      </c>
      <c r="M12" s="42" t="s">
        <v>124</v>
      </c>
      <c r="N12" s="95">
        <v>1.0706018518518517E-2</v>
      </c>
      <c r="O12" s="93">
        <f t="shared" si="6"/>
        <v>2.8099786137843878E-3</v>
      </c>
      <c r="P12" s="122"/>
      <c r="Q12" s="122"/>
    </row>
    <row r="13" spans="1:17" ht="16.5" customHeight="1" x14ac:dyDescent="0.2">
      <c r="A13" s="43">
        <f t="shared" si="0"/>
        <v>12</v>
      </c>
      <c r="B13" s="43">
        <f t="shared" si="1"/>
        <v>7</v>
      </c>
      <c r="C13" s="42" t="s">
        <v>173</v>
      </c>
      <c r="D13" s="95">
        <v>9.7222222222222224E-3</v>
      </c>
      <c r="E13" s="95">
        <f t="shared" si="2"/>
        <v>3.472222222222222E-3</v>
      </c>
      <c r="F13" s="95">
        <v>9.9421296296296289E-3</v>
      </c>
      <c r="G13" s="92">
        <f t="shared" si="3"/>
        <v>1.3414351851851851E-2</v>
      </c>
      <c r="H13" s="228">
        <f t="shared" si="4"/>
        <v>2.1990740740740651E-4</v>
      </c>
      <c r="I13" s="59">
        <f t="shared" si="5"/>
        <v>31.25</v>
      </c>
      <c r="L13" s="43">
        <v>12</v>
      </c>
      <c r="M13" s="42" t="s">
        <v>41</v>
      </c>
      <c r="N13" s="95">
        <v>1.074074074074074E-2</v>
      </c>
      <c r="O13" s="93">
        <f t="shared" si="6"/>
        <v>2.8190920579372019E-3</v>
      </c>
      <c r="P13" s="122"/>
      <c r="Q13" s="122"/>
    </row>
    <row r="14" spans="1:17" ht="16.5" customHeight="1" x14ac:dyDescent="0.2">
      <c r="A14" s="43">
        <f t="shared" si="0"/>
        <v>13</v>
      </c>
      <c r="B14" s="43">
        <f t="shared" si="1"/>
        <v>9</v>
      </c>
      <c r="C14" s="42" t="s">
        <v>46</v>
      </c>
      <c r="D14" s="95">
        <v>1.0069444444444445E-2</v>
      </c>
      <c r="E14" s="95">
        <f t="shared" si="2"/>
        <v>3.1249999999999993E-3</v>
      </c>
      <c r="F14" s="95">
        <v>1.0300925925925927E-2</v>
      </c>
      <c r="G14" s="92">
        <f t="shared" si="3"/>
        <v>1.3425925925925926E-2</v>
      </c>
      <c r="H14" s="228">
        <f t="shared" si="4"/>
        <v>2.3148148148148182E-4</v>
      </c>
      <c r="I14" s="59">
        <f t="shared" si="5"/>
        <v>25</v>
      </c>
      <c r="L14" s="43">
        <v>13</v>
      </c>
      <c r="M14" s="42" t="s">
        <v>134</v>
      </c>
      <c r="N14" s="95">
        <v>1.0937500000000001E-2</v>
      </c>
      <c r="O14" s="93">
        <f t="shared" si="6"/>
        <v>2.8707349081364833E-3</v>
      </c>
      <c r="P14" s="122"/>
      <c r="Q14" s="122"/>
    </row>
    <row r="15" spans="1:17" ht="16.5" customHeight="1" x14ac:dyDescent="0.2">
      <c r="A15" s="43">
        <f t="shared" si="0"/>
        <v>14</v>
      </c>
      <c r="B15" s="43">
        <f t="shared" si="1"/>
        <v>13</v>
      </c>
      <c r="C15" s="42" t="s">
        <v>134</v>
      </c>
      <c r="D15" s="95">
        <v>1.0300925925925927E-2</v>
      </c>
      <c r="E15" s="95">
        <f t="shared" si="2"/>
        <v>2.8935185185185175E-3</v>
      </c>
      <c r="F15" s="95">
        <v>1.0937500000000001E-2</v>
      </c>
      <c r="G15" s="92">
        <f t="shared" si="3"/>
        <v>1.3831018518518519E-2</v>
      </c>
      <c r="H15" s="228">
        <f t="shared" si="4"/>
        <v>6.3657407407407413E-4</v>
      </c>
      <c r="I15" s="59">
        <f t="shared" si="5"/>
        <v>18.75</v>
      </c>
      <c r="L15" s="43">
        <v>14</v>
      </c>
      <c r="M15" s="42" t="s">
        <v>125</v>
      </c>
      <c r="N15" s="95">
        <v>1.1087962962962964E-2</v>
      </c>
      <c r="O15" s="93">
        <f t="shared" si="6"/>
        <v>2.9102264994653451E-3</v>
      </c>
      <c r="P15" s="122"/>
      <c r="Q15" s="122"/>
    </row>
    <row r="16" spans="1:17" ht="16.5" customHeight="1" x14ac:dyDescent="0.2">
      <c r="A16" s="43">
        <f t="shared" si="0"/>
        <v>15</v>
      </c>
      <c r="B16" s="43">
        <f t="shared" si="1"/>
        <v>14</v>
      </c>
      <c r="C16" s="42" t="s">
        <v>125</v>
      </c>
      <c r="D16" s="95">
        <v>1.0416666666666666E-2</v>
      </c>
      <c r="E16" s="95">
        <f t="shared" si="2"/>
        <v>2.7777777777777783E-3</v>
      </c>
      <c r="F16" s="95">
        <v>1.1087962962962964E-2</v>
      </c>
      <c r="G16" s="92">
        <f t="shared" si="3"/>
        <v>1.3865740740740743E-2</v>
      </c>
      <c r="H16" s="228">
        <f t="shared" si="4"/>
        <v>6.7129629629629831E-4</v>
      </c>
      <c r="I16" s="59">
        <f t="shared" si="5"/>
        <v>12.5</v>
      </c>
      <c r="L16" s="43">
        <v>15</v>
      </c>
      <c r="M16" s="42" t="s">
        <v>256</v>
      </c>
      <c r="N16" s="95">
        <v>1.1203703703703704E-2</v>
      </c>
      <c r="O16" s="93">
        <f t="shared" si="6"/>
        <v>2.9406046466413918E-3</v>
      </c>
      <c r="P16" s="122"/>
      <c r="Q16" s="122"/>
    </row>
    <row r="17" spans="1:17" ht="16.5" customHeight="1" x14ac:dyDescent="0.2">
      <c r="A17" s="43">
        <f t="shared" si="0"/>
        <v>16</v>
      </c>
      <c r="B17" s="43">
        <f t="shared" si="1"/>
        <v>10</v>
      </c>
      <c r="C17" s="42" t="s">
        <v>98</v>
      </c>
      <c r="D17" s="95">
        <v>9.4907407407407406E-3</v>
      </c>
      <c r="E17" s="95">
        <f t="shared" si="2"/>
        <v>3.7037037037037038E-3</v>
      </c>
      <c r="F17" s="95">
        <v>1.0358796296296295E-2</v>
      </c>
      <c r="G17" s="92">
        <f t="shared" si="3"/>
        <v>1.4062499999999999E-2</v>
      </c>
      <c r="H17" s="228">
        <f t="shared" si="4"/>
        <v>8.6805555555555421E-4</v>
      </c>
      <c r="I17" s="59">
        <f t="shared" si="5"/>
        <v>6.25</v>
      </c>
      <c r="L17" s="43">
        <v>16</v>
      </c>
      <c r="M17" s="42" t="s">
        <v>103</v>
      </c>
      <c r="N17" s="95">
        <v>1.3333333333333334E-2</v>
      </c>
      <c r="O17" s="93">
        <f t="shared" si="6"/>
        <v>3.499562554680665E-3</v>
      </c>
      <c r="P17" s="122"/>
      <c r="Q17" s="122"/>
    </row>
    <row r="19" spans="1:17" x14ac:dyDescent="0.2">
      <c r="A19" s="43" t="s">
        <v>25</v>
      </c>
      <c r="B19" s="60">
        <v>16</v>
      </c>
    </row>
    <row r="21" spans="1:17" ht="16.5" customHeight="1" x14ac:dyDescent="0.2">
      <c r="A21" s="43" t="s">
        <v>15</v>
      </c>
      <c r="B21" s="43">
        <v>1</v>
      </c>
      <c r="C21" s="42" t="s">
        <v>99</v>
      </c>
      <c r="D21" s="112"/>
      <c r="I21" s="43">
        <f t="shared" ref="I21" si="7">ROUND(100-((100/$B$19)*(ROUNDUP($B$19*0.4,0)-1)),2)</f>
        <v>62.5</v>
      </c>
    </row>
    <row r="22" spans="1:17" ht="16.5" customHeight="1" x14ac:dyDescent="0.2">
      <c r="B22" s="43">
        <v>2</v>
      </c>
      <c r="C22" s="42"/>
      <c r="D22" s="112"/>
      <c r="I22" s="43">
        <v>0</v>
      </c>
    </row>
    <row r="23" spans="1:17" ht="16.5" customHeight="1" x14ac:dyDescent="0.2">
      <c r="B23" s="43">
        <v>3</v>
      </c>
      <c r="C23" s="42"/>
      <c r="I23" s="43">
        <v>0</v>
      </c>
    </row>
    <row r="25" spans="1:17" ht="18" customHeight="1" x14ac:dyDescent="0.2">
      <c r="H25" s="65" t="s">
        <v>28</v>
      </c>
      <c r="I25" s="59">
        <f>SUM(I2:I23)</f>
        <v>912.5</v>
      </c>
    </row>
  </sheetData>
  <sheetProtection algorithmName="SHA-512" hashValue="UKjIWEF75JxqL1ZWzUmgQbECOPsFZIMO3ll1CGukoJH8dHk8uQOfWMc4ChQOjXBbt5gfP4sX7HqkPPQElhKktg==" saltValue="oyc0yYUsMT5d4lzy+I4HQw==" spinCount="100000" sheet="1" objects="1" scenarios="1"/>
  <sortState xmlns:xlrd2="http://schemas.microsoft.com/office/spreadsheetml/2017/richdata2" ref="M2:N17">
    <sortCondition ref="N2:N17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51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customWidth="1"/>
    <col min="2" max="2" width="26.7109375" customWidth="1"/>
    <col min="3" max="3" width="11.5703125" bestFit="1" customWidth="1"/>
    <col min="4" max="4" width="21.5703125" bestFit="1" customWidth="1"/>
    <col min="5" max="8" width="11.140625" customWidth="1"/>
    <col min="9" max="9" width="10.28515625" hidden="1" customWidth="1"/>
    <col min="10" max="10" width="6.5703125" hidden="1" customWidth="1"/>
    <col min="11" max="11" width="13.140625" bestFit="1" customWidth="1"/>
    <col min="12" max="13" width="9.42578125" customWidth="1"/>
    <col min="14" max="14" width="10.28515625" hidden="1" customWidth="1"/>
    <col min="15" max="16" width="9.42578125" hidden="1" customWidth="1"/>
    <col min="17" max="42" width="9.42578125" customWidth="1"/>
  </cols>
  <sheetData>
    <row r="1" spans="1:15" ht="37.5" customHeight="1" x14ac:dyDescent="0.2">
      <c r="A1" s="165" t="s">
        <v>17</v>
      </c>
      <c r="B1" s="165" t="s">
        <v>7</v>
      </c>
      <c r="C1" s="165" t="s">
        <v>3</v>
      </c>
      <c r="D1" s="165" t="s">
        <v>185</v>
      </c>
      <c r="E1" s="165" t="s">
        <v>186</v>
      </c>
      <c r="F1" s="165" t="s">
        <v>520</v>
      </c>
      <c r="G1" s="165" t="s">
        <v>179</v>
      </c>
      <c r="H1" s="165" t="s">
        <v>9</v>
      </c>
      <c r="I1" s="188" t="s">
        <v>232</v>
      </c>
      <c r="J1" s="187" t="s">
        <v>154</v>
      </c>
    </row>
    <row r="2" spans="1:15" ht="18" customHeight="1" x14ac:dyDescent="0.2">
      <c r="A2" s="43">
        <f>RANK(G2,$G$2:$G$145,0)</f>
        <v>1</v>
      </c>
      <c r="B2" s="69" t="s">
        <v>521</v>
      </c>
      <c r="C2" s="230">
        <v>43610</v>
      </c>
      <c r="D2" s="69" t="s">
        <v>483</v>
      </c>
      <c r="E2" s="114" t="str">
        <f>VLOOKUP(J2,$N$2:$O$62,2,FALSE)</f>
        <v>60 - 64</v>
      </c>
      <c r="F2" s="231">
        <v>1.2777777777777777E-2</v>
      </c>
      <c r="G2" s="232">
        <v>0.87949999999999995</v>
      </c>
      <c r="H2" s="229">
        <f>ROUND(100-((100/$B$147)*(A2-1)),2)</f>
        <v>100</v>
      </c>
      <c r="I2" s="125">
        <v>20975</v>
      </c>
      <c r="J2" s="43">
        <f>DATEDIF(I2,$C$2,"y")</f>
        <v>61</v>
      </c>
      <c r="L2" s="109"/>
      <c r="N2">
        <v>15</v>
      </c>
      <c r="O2" s="13" t="s">
        <v>301</v>
      </c>
    </row>
    <row r="3" spans="1:15" ht="18" customHeight="1" x14ac:dyDescent="0.2">
      <c r="A3" s="43">
        <f t="shared" ref="A3:A66" si="0">RANK(G3,$G$2:$G$145,0)</f>
        <v>2</v>
      </c>
      <c r="B3" s="42" t="s">
        <v>522</v>
      </c>
      <c r="C3" s="230">
        <v>43624</v>
      </c>
      <c r="D3" s="42" t="s">
        <v>484</v>
      </c>
      <c r="E3" s="114" t="str">
        <f t="shared" ref="E3:E66" si="1">VLOOKUP(J3,$N$2:$O$62,2,FALSE)</f>
        <v>50 - 54</v>
      </c>
      <c r="F3" s="231">
        <v>1.1828703703703704E-2</v>
      </c>
      <c r="G3" s="232">
        <v>0.8659</v>
      </c>
      <c r="H3" s="229">
        <f t="shared" ref="H3:H66" si="2">ROUND(100-((100/$B$147)*(A3-1)),2)</f>
        <v>99.31</v>
      </c>
      <c r="I3" s="125">
        <v>25305</v>
      </c>
      <c r="J3" s="43">
        <f t="shared" ref="J3:J66" si="3">DATEDIF(I3,$C$2,"y")</f>
        <v>50</v>
      </c>
      <c r="L3" s="109"/>
      <c r="N3">
        <v>16</v>
      </c>
      <c r="O3" s="13" t="s">
        <v>301</v>
      </c>
    </row>
    <row r="4" spans="1:15" ht="18" customHeight="1" x14ac:dyDescent="0.2">
      <c r="A4" s="43">
        <f t="shared" si="0"/>
        <v>3</v>
      </c>
      <c r="B4" s="69" t="s">
        <v>523</v>
      </c>
      <c r="C4" s="230">
        <v>43701</v>
      </c>
      <c r="D4" s="69" t="s">
        <v>485</v>
      </c>
      <c r="E4" s="114" t="str">
        <f t="shared" si="1"/>
        <v>45 - 49</v>
      </c>
      <c r="F4" s="231">
        <v>1.1678240740740741E-2</v>
      </c>
      <c r="G4" s="232">
        <v>0.86319999999999997</v>
      </c>
      <c r="H4" s="229">
        <f t="shared" si="2"/>
        <v>98.61</v>
      </c>
      <c r="I4" s="125">
        <v>26154</v>
      </c>
      <c r="J4" s="43">
        <f t="shared" si="3"/>
        <v>47</v>
      </c>
      <c r="L4" s="109"/>
      <c r="N4">
        <v>17</v>
      </c>
      <c r="O4" s="13" t="s">
        <v>301</v>
      </c>
    </row>
    <row r="5" spans="1:15" ht="18" customHeight="1" x14ac:dyDescent="0.2">
      <c r="A5" s="43">
        <f t="shared" si="0"/>
        <v>4</v>
      </c>
      <c r="B5" s="69" t="s">
        <v>524</v>
      </c>
      <c r="C5" s="230">
        <v>43540</v>
      </c>
      <c r="D5" s="69" t="s">
        <v>485</v>
      </c>
      <c r="E5" s="114" t="str">
        <f t="shared" si="1"/>
        <v>50 - 54</v>
      </c>
      <c r="F5" s="231">
        <v>1.1990740740740739E-2</v>
      </c>
      <c r="G5" s="232">
        <v>0.86099999999999999</v>
      </c>
      <c r="H5" s="229">
        <f t="shared" si="2"/>
        <v>97.92</v>
      </c>
      <c r="I5" s="125">
        <v>24643</v>
      </c>
      <c r="J5" s="43">
        <f t="shared" si="3"/>
        <v>51</v>
      </c>
      <c r="L5" s="109"/>
      <c r="N5">
        <v>18</v>
      </c>
      <c r="O5" s="13" t="s">
        <v>302</v>
      </c>
    </row>
    <row r="6" spans="1:15" ht="18" customHeight="1" x14ac:dyDescent="0.2">
      <c r="A6" s="43">
        <f t="shared" si="0"/>
        <v>5</v>
      </c>
      <c r="B6" s="69" t="s">
        <v>661</v>
      </c>
      <c r="C6" s="230">
        <v>43568</v>
      </c>
      <c r="D6" s="69" t="s">
        <v>486</v>
      </c>
      <c r="E6" s="114" t="str">
        <f t="shared" si="1"/>
        <v>40 - 44</v>
      </c>
      <c r="F6" s="231">
        <v>1.2708333333333334E-2</v>
      </c>
      <c r="G6" s="232">
        <v>0.85970000000000002</v>
      </c>
      <c r="H6" s="229">
        <f t="shared" si="2"/>
        <v>97.22</v>
      </c>
      <c r="I6" s="125">
        <v>27487</v>
      </c>
      <c r="J6" s="43">
        <f t="shared" si="3"/>
        <v>44</v>
      </c>
      <c r="L6" s="109"/>
      <c r="N6">
        <v>19</v>
      </c>
      <c r="O6" s="13" t="s">
        <v>302</v>
      </c>
    </row>
    <row r="7" spans="1:15" ht="18" customHeight="1" x14ac:dyDescent="0.2">
      <c r="A7" s="43">
        <f t="shared" si="0"/>
        <v>6</v>
      </c>
      <c r="B7" s="69" t="s">
        <v>525</v>
      </c>
      <c r="C7" s="230">
        <v>43540</v>
      </c>
      <c r="D7" s="69" t="s">
        <v>485</v>
      </c>
      <c r="E7" s="114" t="str">
        <f t="shared" si="1"/>
        <v>40 - 44</v>
      </c>
      <c r="F7" s="231">
        <v>1.1446759259259261E-2</v>
      </c>
      <c r="G7" s="232">
        <v>0.85340000000000005</v>
      </c>
      <c r="H7" s="229">
        <f t="shared" si="2"/>
        <v>96.53</v>
      </c>
      <c r="I7" s="125">
        <v>27386</v>
      </c>
      <c r="J7" s="43">
        <f t="shared" si="3"/>
        <v>44</v>
      </c>
      <c r="L7" s="109"/>
      <c r="N7">
        <v>20</v>
      </c>
      <c r="O7" s="13" t="s">
        <v>303</v>
      </c>
    </row>
    <row r="8" spans="1:15" ht="18" customHeight="1" x14ac:dyDescent="0.2">
      <c r="A8" s="43">
        <f t="shared" si="0"/>
        <v>7</v>
      </c>
      <c r="B8" s="69" t="s">
        <v>657</v>
      </c>
      <c r="C8" s="230">
        <v>43512</v>
      </c>
      <c r="D8" s="69" t="s">
        <v>487</v>
      </c>
      <c r="E8" s="114" t="str">
        <f t="shared" si="1"/>
        <v>35 - 39</v>
      </c>
      <c r="F8" s="231">
        <v>1.0729166666666666E-2</v>
      </c>
      <c r="G8" s="232">
        <v>0.85329999999999995</v>
      </c>
      <c r="H8" s="229">
        <f t="shared" si="2"/>
        <v>95.83</v>
      </c>
      <c r="I8" s="125">
        <v>30591</v>
      </c>
      <c r="J8" s="43">
        <f t="shared" si="3"/>
        <v>35</v>
      </c>
      <c r="L8" s="109"/>
      <c r="N8">
        <v>21</v>
      </c>
      <c r="O8" s="13" t="s">
        <v>303</v>
      </c>
    </row>
    <row r="9" spans="1:15" ht="18" customHeight="1" x14ac:dyDescent="0.2">
      <c r="A9" s="43">
        <f t="shared" si="0"/>
        <v>8</v>
      </c>
      <c r="B9" s="69" t="s">
        <v>526</v>
      </c>
      <c r="C9" s="230">
        <v>43722</v>
      </c>
      <c r="D9" s="69" t="s">
        <v>487</v>
      </c>
      <c r="E9" s="114" t="str">
        <f t="shared" si="1"/>
        <v>40 - 44</v>
      </c>
      <c r="F9" s="231">
        <v>1.1481481481481483E-2</v>
      </c>
      <c r="G9" s="232">
        <v>0.8508</v>
      </c>
      <c r="H9" s="229">
        <f t="shared" si="2"/>
        <v>95.14</v>
      </c>
      <c r="I9" s="125">
        <v>27296</v>
      </c>
      <c r="J9" s="43">
        <f t="shared" si="3"/>
        <v>44</v>
      </c>
      <c r="L9" s="109"/>
      <c r="N9">
        <v>22</v>
      </c>
      <c r="O9" s="13" t="s">
        <v>303</v>
      </c>
    </row>
    <row r="10" spans="1:15" ht="18" customHeight="1" x14ac:dyDescent="0.2">
      <c r="A10" s="43">
        <f t="shared" si="0"/>
        <v>9</v>
      </c>
      <c r="B10" s="69" t="s">
        <v>527</v>
      </c>
      <c r="C10" s="230">
        <v>43491</v>
      </c>
      <c r="D10" s="69" t="s">
        <v>485</v>
      </c>
      <c r="E10" s="114" t="str">
        <f t="shared" si="1"/>
        <v>55 - 59</v>
      </c>
      <c r="F10" s="231">
        <v>1.292824074074074E-2</v>
      </c>
      <c r="G10" s="232">
        <v>0.84689999999999999</v>
      </c>
      <c r="H10" s="229">
        <f t="shared" si="2"/>
        <v>94.44</v>
      </c>
      <c r="I10" s="125">
        <v>22118</v>
      </c>
      <c r="J10" s="43">
        <f t="shared" si="3"/>
        <v>58</v>
      </c>
      <c r="L10" s="109"/>
      <c r="N10">
        <v>23</v>
      </c>
      <c r="O10" s="13" t="s">
        <v>303</v>
      </c>
    </row>
    <row r="11" spans="1:15" ht="18" customHeight="1" x14ac:dyDescent="0.2">
      <c r="A11" s="43">
        <f t="shared" si="0"/>
        <v>10</v>
      </c>
      <c r="B11" s="69" t="s">
        <v>528</v>
      </c>
      <c r="C11" s="230">
        <v>43743</v>
      </c>
      <c r="D11" s="69" t="s">
        <v>484</v>
      </c>
      <c r="E11" s="114" t="str">
        <f t="shared" si="1"/>
        <v>45 - 49</v>
      </c>
      <c r="F11" s="231">
        <v>1.2013888888888888E-2</v>
      </c>
      <c r="G11" s="232">
        <v>0.84589999999999999</v>
      </c>
      <c r="H11" s="229">
        <f t="shared" si="2"/>
        <v>93.75</v>
      </c>
      <c r="I11" s="125">
        <v>25831</v>
      </c>
      <c r="J11" s="43">
        <f t="shared" si="3"/>
        <v>48</v>
      </c>
      <c r="L11" s="109"/>
      <c r="N11">
        <v>24</v>
      </c>
      <c r="O11" s="13" t="s">
        <v>303</v>
      </c>
    </row>
    <row r="12" spans="1:15" ht="18" customHeight="1" x14ac:dyDescent="0.2">
      <c r="A12" s="43">
        <f t="shared" si="0"/>
        <v>11</v>
      </c>
      <c r="B12" s="69" t="s">
        <v>529</v>
      </c>
      <c r="C12" s="230">
        <v>43722</v>
      </c>
      <c r="D12" s="69" t="s">
        <v>487</v>
      </c>
      <c r="E12" s="114" t="str">
        <f t="shared" si="1"/>
        <v>45 - 49</v>
      </c>
      <c r="F12" s="231">
        <v>1.1666666666666667E-2</v>
      </c>
      <c r="G12" s="232">
        <v>0.84419999999999995</v>
      </c>
      <c r="H12" s="229">
        <f t="shared" si="2"/>
        <v>93.06</v>
      </c>
      <c r="I12" s="125">
        <v>27080</v>
      </c>
      <c r="J12" s="43">
        <f t="shared" si="3"/>
        <v>45</v>
      </c>
      <c r="L12" s="109"/>
      <c r="N12">
        <v>25</v>
      </c>
      <c r="O12" s="13" t="s">
        <v>304</v>
      </c>
    </row>
    <row r="13" spans="1:15" ht="18" customHeight="1" x14ac:dyDescent="0.2">
      <c r="A13" s="43">
        <f t="shared" si="0"/>
        <v>12</v>
      </c>
      <c r="B13" s="69" t="s">
        <v>530</v>
      </c>
      <c r="C13" s="230">
        <v>43743</v>
      </c>
      <c r="D13" s="69" t="s">
        <v>488</v>
      </c>
      <c r="E13" s="114" t="str">
        <f t="shared" si="1"/>
        <v>45 - 49</v>
      </c>
      <c r="F13" s="231">
        <v>1.2094907407407408E-2</v>
      </c>
      <c r="G13" s="232">
        <v>0.84019999999999995</v>
      </c>
      <c r="H13" s="229">
        <f t="shared" si="2"/>
        <v>92.36</v>
      </c>
      <c r="I13" s="125">
        <v>25675</v>
      </c>
      <c r="J13" s="43">
        <f t="shared" si="3"/>
        <v>49</v>
      </c>
      <c r="L13" s="109"/>
      <c r="N13">
        <v>26</v>
      </c>
      <c r="O13" s="13" t="s">
        <v>304</v>
      </c>
    </row>
    <row r="14" spans="1:15" ht="18" customHeight="1" x14ac:dyDescent="0.2">
      <c r="A14" s="43">
        <f t="shared" si="0"/>
        <v>13</v>
      </c>
      <c r="B14" s="69" t="s">
        <v>531</v>
      </c>
      <c r="C14" s="230">
        <v>43603</v>
      </c>
      <c r="D14" s="69" t="s">
        <v>487</v>
      </c>
      <c r="E14" s="114" t="str">
        <f t="shared" si="1"/>
        <v>40 - 44</v>
      </c>
      <c r="F14" s="231">
        <v>1.269675925925926E-2</v>
      </c>
      <c r="G14" s="232">
        <v>0.83679999999999999</v>
      </c>
      <c r="H14" s="229">
        <f t="shared" si="2"/>
        <v>91.67</v>
      </c>
      <c r="I14" s="125">
        <v>28672</v>
      </c>
      <c r="J14" s="43">
        <f t="shared" si="3"/>
        <v>40</v>
      </c>
      <c r="L14" s="109"/>
      <c r="N14">
        <v>27</v>
      </c>
      <c r="O14" s="13" t="s">
        <v>304</v>
      </c>
    </row>
    <row r="15" spans="1:15" ht="18" customHeight="1" x14ac:dyDescent="0.2">
      <c r="A15" s="43">
        <f t="shared" si="0"/>
        <v>14</v>
      </c>
      <c r="B15" s="69" t="s">
        <v>532</v>
      </c>
      <c r="C15" s="230">
        <v>43666</v>
      </c>
      <c r="D15" s="69" t="s">
        <v>486</v>
      </c>
      <c r="E15" s="114" t="str">
        <f t="shared" si="1"/>
        <v>35 - 39</v>
      </c>
      <c r="F15" s="231">
        <v>1.0949074074074075E-2</v>
      </c>
      <c r="G15" s="232">
        <v>0.83620000000000005</v>
      </c>
      <c r="H15" s="229">
        <f t="shared" si="2"/>
        <v>90.97</v>
      </c>
      <c r="I15" s="125">
        <v>30763</v>
      </c>
      <c r="J15" s="43">
        <f t="shared" si="3"/>
        <v>35</v>
      </c>
      <c r="L15" s="109"/>
      <c r="M15" s="113"/>
      <c r="N15">
        <v>28</v>
      </c>
      <c r="O15" s="13" t="s">
        <v>304</v>
      </c>
    </row>
    <row r="16" spans="1:15" ht="18" customHeight="1" x14ac:dyDescent="0.2">
      <c r="A16" s="43">
        <f t="shared" si="0"/>
        <v>15</v>
      </c>
      <c r="B16" s="69" t="s">
        <v>533</v>
      </c>
      <c r="C16" s="230">
        <v>43561</v>
      </c>
      <c r="D16" s="69" t="s">
        <v>485</v>
      </c>
      <c r="E16" s="114" t="str">
        <f t="shared" si="1"/>
        <v>40 - 44</v>
      </c>
      <c r="F16" s="231">
        <v>1.1736111111111109E-2</v>
      </c>
      <c r="G16" s="232">
        <v>0.83230000000000004</v>
      </c>
      <c r="H16" s="229">
        <f t="shared" si="2"/>
        <v>90.28</v>
      </c>
      <c r="I16" s="125">
        <v>27288</v>
      </c>
      <c r="J16" s="43">
        <f t="shared" si="3"/>
        <v>44</v>
      </c>
      <c r="L16" s="109"/>
      <c r="M16" s="113"/>
      <c r="N16">
        <v>29</v>
      </c>
      <c r="O16" s="13" t="s">
        <v>304</v>
      </c>
    </row>
    <row r="17" spans="1:15" ht="18" customHeight="1" x14ac:dyDescent="0.2">
      <c r="A17" s="43">
        <f t="shared" si="0"/>
        <v>16</v>
      </c>
      <c r="B17" s="69" t="s">
        <v>534</v>
      </c>
      <c r="C17" s="230">
        <v>43743</v>
      </c>
      <c r="D17" s="69" t="s">
        <v>487</v>
      </c>
      <c r="E17" s="114" t="str">
        <f t="shared" si="1"/>
        <v>35 - 39</v>
      </c>
      <c r="F17" s="231">
        <v>1.2592592592592593E-2</v>
      </c>
      <c r="G17" s="232">
        <v>0.83</v>
      </c>
      <c r="H17" s="229">
        <f t="shared" si="2"/>
        <v>89.58</v>
      </c>
      <c r="I17" s="125">
        <v>30088</v>
      </c>
      <c r="J17" s="43">
        <f t="shared" si="3"/>
        <v>37</v>
      </c>
      <c r="L17" s="109"/>
      <c r="M17" s="113"/>
      <c r="N17">
        <v>30</v>
      </c>
      <c r="O17" s="13" t="s">
        <v>305</v>
      </c>
    </row>
    <row r="18" spans="1:15" ht="18" customHeight="1" x14ac:dyDescent="0.2">
      <c r="A18" s="43">
        <f t="shared" si="0"/>
        <v>17</v>
      </c>
      <c r="B18" s="69" t="s">
        <v>535</v>
      </c>
      <c r="C18" s="230">
        <v>43743</v>
      </c>
      <c r="D18" s="69" t="s">
        <v>484</v>
      </c>
      <c r="E18" s="114" t="str">
        <f t="shared" si="1"/>
        <v>35 - 39</v>
      </c>
      <c r="F18" s="231">
        <v>1.1423611111111112E-2</v>
      </c>
      <c r="G18" s="232">
        <v>0.82979999999999998</v>
      </c>
      <c r="H18" s="229">
        <f t="shared" si="2"/>
        <v>88.89</v>
      </c>
      <c r="I18" s="125">
        <v>29132</v>
      </c>
      <c r="J18" s="43">
        <f t="shared" si="3"/>
        <v>39</v>
      </c>
      <c r="L18" s="109"/>
      <c r="M18" s="113"/>
      <c r="N18">
        <v>31</v>
      </c>
      <c r="O18" s="13" t="s">
        <v>305</v>
      </c>
    </row>
    <row r="19" spans="1:15" ht="18" customHeight="1" x14ac:dyDescent="0.2">
      <c r="A19" s="43">
        <f t="shared" si="0"/>
        <v>18</v>
      </c>
      <c r="B19" s="68" t="s">
        <v>536</v>
      </c>
      <c r="C19" s="230">
        <v>43582</v>
      </c>
      <c r="D19" s="68" t="s">
        <v>485</v>
      </c>
      <c r="E19" s="114" t="str">
        <f t="shared" si="1"/>
        <v>40 - 44</v>
      </c>
      <c r="F19" s="231">
        <v>1.2824074074074073E-2</v>
      </c>
      <c r="G19" s="232">
        <v>0.82850000000000001</v>
      </c>
      <c r="H19" s="229">
        <f t="shared" si="2"/>
        <v>88.19</v>
      </c>
      <c r="I19" s="125">
        <v>28736</v>
      </c>
      <c r="J19" s="43">
        <f t="shared" si="3"/>
        <v>40</v>
      </c>
      <c r="L19" s="109"/>
      <c r="N19">
        <v>32</v>
      </c>
      <c r="O19" s="13" t="s">
        <v>305</v>
      </c>
    </row>
    <row r="20" spans="1:15" ht="18" customHeight="1" x14ac:dyDescent="0.2">
      <c r="A20" s="43">
        <f t="shared" si="0"/>
        <v>19</v>
      </c>
      <c r="B20" s="69" t="s">
        <v>537</v>
      </c>
      <c r="C20" s="230">
        <v>43533</v>
      </c>
      <c r="D20" s="69" t="s">
        <v>483</v>
      </c>
      <c r="E20" s="114" t="str">
        <f t="shared" si="1"/>
        <v>40 - 44</v>
      </c>
      <c r="F20" s="231">
        <v>1.1712962962962965E-2</v>
      </c>
      <c r="G20" s="232">
        <v>0.82809999999999995</v>
      </c>
      <c r="H20" s="229">
        <f t="shared" si="2"/>
        <v>87.5</v>
      </c>
      <c r="I20" s="125">
        <v>27467</v>
      </c>
      <c r="J20" s="43">
        <f t="shared" si="3"/>
        <v>44</v>
      </c>
      <c r="L20" s="109"/>
      <c r="N20">
        <v>33</v>
      </c>
      <c r="O20" s="13" t="s">
        <v>305</v>
      </c>
    </row>
    <row r="21" spans="1:15" ht="18" customHeight="1" x14ac:dyDescent="0.2">
      <c r="A21" s="43">
        <f t="shared" si="0"/>
        <v>20</v>
      </c>
      <c r="B21" s="69" t="s">
        <v>538</v>
      </c>
      <c r="C21" s="230">
        <v>43512</v>
      </c>
      <c r="D21" s="69" t="s">
        <v>487</v>
      </c>
      <c r="E21" s="114" t="str">
        <f t="shared" si="1"/>
        <v>35 - 39</v>
      </c>
      <c r="F21" s="231">
        <v>1.2708333333333334E-2</v>
      </c>
      <c r="G21" s="232">
        <v>0.82699999999999996</v>
      </c>
      <c r="H21" s="229">
        <f t="shared" si="2"/>
        <v>86.81</v>
      </c>
      <c r="I21" s="125">
        <v>29312</v>
      </c>
      <c r="J21" s="43">
        <f t="shared" si="3"/>
        <v>39</v>
      </c>
      <c r="L21" s="109"/>
      <c r="N21">
        <v>34</v>
      </c>
      <c r="O21" s="13" t="s">
        <v>305</v>
      </c>
    </row>
    <row r="22" spans="1:15" ht="18" customHeight="1" x14ac:dyDescent="0.2">
      <c r="A22" s="43">
        <f t="shared" si="0"/>
        <v>21</v>
      </c>
      <c r="B22" s="69" t="s">
        <v>539</v>
      </c>
      <c r="C22" s="230">
        <v>43701</v>
      </c>
      <c r="D22" s="69" t="s">
        <v>485</v>
      </c>
      <c r="E22" s="114" t="str">
        <f t="shared" si="1"/>
        <v>50 - 54</v>
      </c>
      <c r="F22" s="231">
        <v>1.2407407407407409E-2</v>
      </c>
      <c r="G22" s="232">
        <v>0.8256</v>
      </c>
      <c r="H22" s="229">
        <f t="shared" si="2"/>
        <v>86.11</v>
      </c>
      <c r="I22" s="125">
        <v>25147</v>
      </c>
      <c r="J22" s="43">
        <f t="shared" si="3"/>
        <v>50</v>
      </c>
      <c r="L22" s="109"/>
      <c r="N22">
        <v>35</v>
      </c>
      <c r="O22" s="13" t="s">
        <v>306</v>
      </c>
    </row>
    <row r="23" spans="1:15" ht="18" customHeight="1" x14ac:dyDescent="0.2">
      <c r="A23" s="43">
        <f t="shared" si="0"/>
        <v>22</v>
      </c>
      <c r="B23" s="69" t="s">
        <v>540</v>
      </c>
      <c r="C23" s="230">
        <v>43582</v>
      </c>
      <c r="D23" s="69" t="s">
        <v>486</v>
      </c>
      <c r="E23" s="114" t="str">
        <f t="shared" si="1"/>
        <v>50 - 54</v>
      </c>
      <c r="F23" s="231">
        <v>1.2615740740740742E-2</v>
      </c>
      <c r="G23" s="232">
        <v>0.82479999999999998</v>
      </c>
      <c r="H23" s="229">
        <f t="shared" si="2"/>
        <v>85.42</v>
      </c>
      <c r="I23" s="125">
        <v>24416</v>
      </c>
      <c r="J23" s="43">
        <f t="shared" si="3"/>
        <v>52</v>
      </c>
      <c r="L23" s="109"/>
      <c r="N23">
        <v>36</v>
      </c>
      <c r="O23" s="13" t="s">
        <v>306</v>
      </c>
    </row>
    <row r="24" spans="1:15" ht="18" customHeight="1" x14ac:dyDescent="0.2">
      <c r="A24" s="43">
        <f t="shared" si="0"/>
        <v>23</v>
      </c>
      <c r="B24" s="69" t="s">
        <v>541</v>
      </c>
      <c r="C24" s="230">
        <v>43638</v>
      </c>
      <c r="D24" s="69" t="s">
        <v>487</v>
      </c>
      <c r="E24" s="114" t="str">
        <f t="shared" si="1"/>
        <v>45 - 49</v>
      </c>
      <c r="F24" s="231">
        <v>1.3784722222222224E-2</v>
      </c>
      <c r="G24" s="232">
        <v>0.82450000000000001</v>
      </c>
      <c r="H24" s="229">
        <f t="shared" si="2"/>
        <v>84.72</v>
      </c>
      <c r="I24" s="125">
        <v>26072</v>
      </c>
      <c r="J24" s="43">
        <f t="shared" si="3"/>
        <v>48</v>
      </c>
      <c r="L24" s="109"/>
      <c r="N24">
        <v>37</v>
      </c>
      <c r="O24" s="13" t="s">
        <v>306</v>
      </c>
    </row>
    <row r="25" spans="1:15" ht="18" customHeight="1" x14ac:dyDescent="0.2">
      <c r="A25" s="43">
        <f t="shared" si="0"/>
        <v>24</v>
      </c>
      <c r="B25" s="69" t="s">
        <v>542</v>
      </c>
      <c r="C25" s="230">
        <v>43743</v>
      </c>
      <c r="D25" s="69" t="s">
        <v>487</v>
      </c>
      <c r="E25" s="114" t="str">
        <f t="shared" si="1"/>
        <v>55 - 59</v>
      </c>
      <c r="F25" s="231">
        <v>1.306712962962963E-2</v>
      </c>
      <c r="G25" s="232">
        <v>0.82369999999999999</v>
      </c>
      <c r="H25" s="229">
        <f t="shared" si="2"/>
        <v>84.03</v>
      </c>
      <c r="I25" s="125">
        <v>22940</v>
      </c>
      <c r="J25" s="43">
        <f t="shared" si="3"/>
        <v>56</v>
      </c>
      <c r="L25" s="109"/>
      <c r="N25">
        <v>38</v>
      </c>
      <c r="O25" s="13" t="s">
        <v>306</v>
      </c>
    </row>
    <row r="26" spans="1:15" ht="18" customHeight="1" x14ac:dyDescent="0.2">
      <c r="A26" s="43">
        <f t="shared" si="0"/>
        <v>25</v>
      </c>
      <c r="B26" s="69" t="s">
        <v>543</v>
      </c>
      <c r="C26" s="230">
        <v>43743</v>
      </c>
      <c r="D26" s="69" t="s">
        <v>489</v>
      </c>
      <c r="E26" s="114" t="str">
        <f t="shared" si="1"/>
        <v>35 - 39</v>
      </c>
      <c r="F26" s="231">
        <v>1.113425925925926E-2</v>
      </c>
      <c r="G26" s="232">
        <v>0.82220000000000004</v>
      </c>
      <c r="H26" s="229">
        <f t="shared" si="2"/>
        <v>83.33</v>
      </c>
      <c r="I26" s="125">
        <v>30760</v>
      </c>
      <c r="J26" s="43">
        <f t="shared" si="3"/>
        <v>35</v>
      </c>
      <c r="L26" s="109"/>
      <c r="N26">
        <v>39</v>
      </c>
      <c r="O26" s="13" t="s">
        <v>306</v>
      </c>
    </row>
    <row r="27" spans="1:15" ht="18" customHeight="1" x14ac:dyDescent="0.2">
      <c r="A27" s="43">
        <f t="shared" si="0"/>
        <v>26</v>
      </c>
      <c r="B27" s="69" t="s">
        <v>544</v>
      </c>
      <c r="C27" s="230">
        <v>43624</v>
      </c>
      <c r="D27" s="69" t="s">
        <v>485</v>
      </c>
      <c r="E27" s="114" t="str">
        <f t="shared" si="1"/>
        <v>45 - 49</v>
      </c>
      <c r="F27" s="231">
        <v>1.3692129629629629E-2</v>
      </c>
      <c r="G27" s="232">
        <v>0.8216</v>
      </c>
      <c r="H27" s="229">
        <f t="shared" si="2"/>
        <v>82.64</v>
      </c>
      <c r="I27" s="125">
        <v>26202</v>
      </c>
      <c r="J27" s="43">
        <f t="shared" si="3"/>
        <v>47</v>
      </c>
      <c r="L27" s="109"/>
      <c r="N27">
        <v>40</v>
      </c>
      <c r="O27" s="13" t="s">
        <v>307</v>
      </c>
    </row>
    <row r="28" spans="1:15" ht="18" customHeight="1" x14ac:dyDescent="0.2">
      <c r="A28" s="43">
        <f t="shared" si="0"/>
        <v>27</v>
      </c>
      <c r="B28" s="69" t="s">
        <v>545</v>
      </c>
      <c r="C28" s="230">
        <v>43596</v>
      </c>
      <c r="D28" s="69" t="s">
        <v>487</v>
      </c>
      <c r="E28" s="114" t="str">
        <f t="shared" si="1"/>
        <v>30 - 34</v>
      </c>
      <c r="F28" s="231">
        <v>1.1099537037037038E-2</v>
      </c>
      <c r="G28" s="232">
        <v>0.8206</v>
      </c>
      <c r="H28" s="229">
        <f t="shared" si="2"/>
        <v>81.94</v>
      </c>
      <c r="I28" s="125">
        <v>31147</v>
      </c>
      <c r="J28" s="43">
        <f t="shared" si="3"/>
        <v>34</v>
      </c>
      <c r="L28" s="109"/>
      <c r="N28">
        <v>41</v>
      </c>
      <c r="O28" s="13" t="s">
        <v>307</v>
      </c>
    </row>
    <row r="29" spans="1:15" ht="18" customHeight="1" x14ac:dyDescent="0.2">
      <c r="A29" s="43">
        <f t="shared" si="0"/>
        <v>28</v>
      </c>
      <c r="B29" s="68" t="s">
        <v>546</v>
      </c>
      <c r="C29" s="230">
        <v>43561</v>
      </c>
      <c r="D29" s="68" t="s">
        <v>490</v>
      </c>
      <c r="E29" s="114" t="str">
        <f t="shared" si="1"/>
        <v>30 - 34</v>
      </c>
      <c r="F29" s="231">
        <v>1.0949074074074075E-2</v>
      </c>
      <c r="G29" s="232">
        <v>0.82030000000000003</v>
      </c>
      <c r="H29" s="229">
        <f t="shared" si="2"/>
        <v>81.25</v>
      </c>
      <c r="I29" s="125">
        <v>32385</v>
      </c>
      <c r="J29" s="43">
        <f t="shared" si="3"/>
        <v>30</v>
      </c>
      <c r="L29" s="109"/>
      <c r="N29">
        <v>42</v>
      </c>
      <c r="O29" s="13" t="s">
        <v>307</v>
      </c>
    </row>
    <row r="30" spans="1:15" ht="18" customHeight="1" x14ac:dyDescent="0.2">
      <c r="A30" s="43">
        <f t="shared" si="0"/>
        <v>29</v>
      </c>
      <c r="B30" s="69" t="s">
        <v>547</v>
      </c>
      <c r="C30" s="230">
        <v>43505</v>
      </c>
      <c r="D30" s="69" t="s">
        <v>490</v>
      </c>
      <c r="E30" s="114" t="str">
        <f t="shared" si="1"/>
        <v>40 - 44</v>
      </c>
      <c r="F30" s="231">
        <v>1.2962962962962963E-2</v>
      </c>
      <c r="G30" s="232">
        <v>0.8196</v>
      </c>
      <c r="H30" s="229">
        <f t="shared" si="2"/>
        <v>80.56</v>
      </c>
      <c r="I30" s="125">
        <v>28723</v>
      </c>
      <c r="J30" s="43">
        <f t="shared" si="3"/>
        <v>40</v>
      </c>
      <c r="L30" s="109"/>
      <c r="N30">
        <v>43</v>
      </c>
      <c r="O30" s="13" t="s">
        <v>307</v>
      </c>
    </row>
    <row r="31" spans="1:15" ht="18" customHeight="1" x14ac:dyDescent="0.2">
      <c r="A31" s="43">
        <f t="shared" si="0"/>
        <v>30</v>
      </c>
      <c r="B31" s="69" t="s">
        <v>548</v>
      </c>
      <c r="C31" s="230">
        <v>43743</v>
      </c>
      <c r="D31" s="69" t="s">
        <v>487</v>
      </c>
      <c r="E31" s="114" t="str">
        <f t="shared" si="1"/>
        <v>60 - 64</v>
      </c>
      <c r="F31" s="231">
        <v>1.4120370370370368E-2</v>
      </c>
      <c r="G31" s="232">
        <v>0.81720000000000004</v>
      </c>
      <c r="H31" s="229">
        <f t="shared" si="2"/>
        <v>79.86</v>
      </c>
      <c r="I31" s="125">
        <v>20133</v>
      </c>
      <c r="J31" s="43">
        <f t="shared" si="3"/>
        <v>64</v>
      </c>
      <c r="L31" s="109"/>
      <c r="N31">
        <v>44</v>
      </c>
      <c r="O31" s="13" t="s">
        <v>307</v>
      </c>
    </row>
    <row r="32" spans="1:15" ht="18" customHeight="1" x14ac:dyDescent="0.2">
      <c r="A32" s="43">
        <f t="shared" si="0"/>
        <v>31</v>
      </c>
      <c r="B32" s="69" t="s">
        <v>549</v>
      </c>
      <c r="C32" s="230">
        <v>43568</v>
      </c>
      <c r="D32" s="69" t="s">
        <v>485</v>
      </c>
      <c r="E32" s="114" t="str">
        <f t="shared" si="1"/>
        <v>35 - 39</v>
      </c>
      <c r="F32" s="231">
        <v>1.2743055555555556E-2</v>
      </c>
      <c r="G32" s="232">
        <v>0.81469999999999998</v>
      </c>
      <c r="H32" s="229">
        <f t="shared" si="2"/>
        <v>79.17</v>
      </c>
      <c r="I32" s="125">
        <v>30558</v>
      </c>
      <c r="J32" s="43">
        <f t="shared" si="3"/>
        <v>35</v>
      </c>
      <c r="L32" s="109"/>
      <c r="N32">
        <v>45</v>
      </c>
      <c r="O32" s="13" t="s">
        <v>308</v>
      </c>
    </row>
    <row r="33" spans="1:15" ht="18" customHeight="1" x14ac:dyDescent="0.2">
      <c r="A33" s="43">
        <f t="shared" si="0"/>
        <v>32</v>
      </c>
      <c r="B33" s="69" t="s">
        <v>550</v>
      </c>
      <c r="C33" s="230">
        <v>43624</v>
      </c>
      <c r="D33" s="69" t="s">
        <v>484</v>
      </c>
      <c r="E33" s="114" t="str">
        <f t="shared" si="1"/>
        <v>50 - 54</v>
      </c>
      <c r="F33" s="231">
        <v>1.2893518518518519E-2</v>
      </c>
      <c r="G33" s="232">
        <v>0.81420000000000003</v>
      </c>
      <c r="H33" s="229">
        <f t="shared" si="2"/>
        <v>78.47</v>
      </c>
      <c r="I33" s="125">
        <v>24230</v>
      </c>
      <c r="J33" s="43">
        <f t="shared" si="3"/>
        <v>53</v>
      </c>
      <c r="L33" s="109"/>
      <c r="N33">
        <v>46</v>
      </c>
      <c r="O33" s="13" t="s">
        <v>308</v>
      </c>
    </row>
    <row r="34" spans="1:15" ht="18" customHeight="1" x14ac:dyDescent="0.2">
      <c r="A34" s="43">
        <f t="shared" si="0"/>
        <v>33</v>
      </c>
      <c r="B34" s="69" t="s">
        <v>551</v>
      </c>
      <c r="C34" s="230">
        <v>43554</v>
      </c>
      <c r="D34" s="69" t="s">
        <v>491</v>
      </c>
      <c r="E34" s="114" t="str">
        <f t="shared" si="1"/>
        <v>55 - 59</v>
      </c>
      <c r="F34" s="231">
        <v>1.3229166666666667E-2</v>
      </c>
      <c r="G34" s="232">
        <v>0.81359999999999999</v>
      </c>
      <c r="H34" s="229">
        <f t="shared" si="2"/>
        <v>77.78</v>
      </c>
      <c r="I34" s="125">
        <v>22837</v>
      </c>
      <c r="J34" s="43">
        <f t="shared" si="3"/>
        <v>56</v>
      </c>
      <c r="N34">
        <v>47</v>
      </c>
      <c r="O34" s="13" t="s">
        <v>308</v>
      </c>
    </row>
    <row r="35" spans="1:15" ht="18" customHeight="1" x14ac:dyDescent="0.2">
      <c r="A35" s="43">
        <f t="shared" si="0"/>
        <v>34</v>
      </c>
      <c r="B35" s="69" t="s">
        <v>552</v>
      </c>
      <c r="C35" s="230">
        <v>43736</v>
      </c>
      <c r="D35" s="69" t="s">
        <v>490</v>
      </c>
      <c r="E35" s="114" t="str">
        <f t="shared" si="1"/>
        <v>40 - 44</v>
      </c>
      <c r="F35" s="231">
        <v>1.1689814814814814E-2</v>
      </c>
      <c r="G35" s="232">
        <v>0.81089999999999995</v>
      </c>
      <c r="H35" s="229">
        <f t="shared" si="2"/>
        <v>77.08</v>
      </c>
      <c r="I35" s="125">
        <v>28953</v>
      </c>
      <c r="J35" s="43">
        <f t="shared" si="3"/>
        <v>40</v>
      </c>
      <c r="L35" s="109"/>
      <c r="N35">
        <v>48</v>
      </c>
      <c r="O35" s="13" t="s">
        <v>308</v>
      </c>
    </row>
    <row r="36" spans="1:15" ht="18" customHeight="1" x14ac:dyDescent="0.2">
      <c r="A36" s="43">
        <f t="shared" si="0"/>
        <v>35</v>
      </c>
      <c r="B36" s="69" t="s">
        <v>553</v>
      </c>
      <c r="C36" s="230">
        <v>43568</v>
      </c>
      <c r="D36" s="69" t="s">
        <v>492</v>
      </c>
      <c r="E36" s="114" t="str">
        <f t="shared" si="1"/>
        <v>45 - 49</v>
      </c>
      <c r="F36" s="231">
        <v>1.2048611111111112E-2</v>
      </c>
      <c r="G36" s="232">
        <v>0.81079999999999997</v>
      </c>
      <c r="H36" s="229">
        <f t="shared" si="2"/>
        <v>76.39</v>
      </c>
      <c r="I36" s="125">
        <v>27166</v>
      </c>
      <c r="J36" s="43">
        <f t="shared" si="3"/>
        <v>45</v>
      </c>
      <c r="K36" s="189"/>
      <c r="L36" s="109"/>
      <c r="N36">
        <v>49</v>
      </c>
      <c r="O36" s="13" t="s">
        <v>308</v>
      </c>
    </row>
    <row r="37" spans="1:15" ht="18" customHeight="1" x14ac:dyDescent="0.2">
      <c r="A37" s="43">
        <f t="shared" si="0"/>
        <v>36</v>
      </c>
      <c r="B37" s="69" t="s">
        <v>554</v>
      </c>
      <c r="C37" s="230">
        <v>43701</v>
      </c>
      <c r="D37" s="69" t="s">
        <v>485</v>
      </c>
      <c r="E37" s="114" t="str">
        <f t="shared" si="1"/>
        <v>55 - 59</v>
      </c>
      <c r="F37" s="231">
        <v>1.3622685185185184E-2</v>
      </c>
      <c r="G37" s="232">
        <v>0.8105</v>
      </c>
      <c r="H37" s="229">
        <f t="shared" si="2"/>
        <v>75.69</v>
      </c>
      <c r="I37" s="125">
        <v>21942</v>
      </c>
      <c r="J37" s="43">
        <f t="shared" si="3"/>
        <v>59</v>
      </c>
      <c r="L37" s="109"/>
      <c r="N37">
        <v>50</v>
      </c>
      <c r="O37" s="13" t="s">
        <v>309</v>
      </c>
    </row>
    <row r="38" spans="1:15" ht="18" customHeight="1" x14ac:dyDescent="0.2">
      <c r="A38" s="43">
        <f t="shared" si="0"/>
        <v>37</v>
      </c>
      <c r="B38" s="69" t="s">
        <v>555</v>
      </c>
      <c r="C38" s="230">
        <v>43652</v>
      </c>
      <c r="D38" s="69" t="s">
        <v>487</v>
      </c>
      <c r="E38" s="114" t="str">
        <f t="shared" si="1"/>
        <v>45 - 49</v>
      </c>
      <c r="F38" s="231">
        <v>1.2511574074074073E-2</v>
      </c>
      <c r="G38" s="232">
        <v>0.80569999999999997</v>
      </c>
      <c r="H38" s="229">
        <f t="shared" si="2"/>
        <v>75</v>
      </c>
      <c r="I38" s="125">
        <v>25937</v>
      </c>
      <c r="J38" s="43">
        <f t="shared" si="3"/>
        <v>48</v>
      </c>
      <c r="L38" s="109"/>
      <c r="N38">
        <v>51</v>
      </c>
      <c r="O38" s="13" t="s">
        <v>309</v>
      </c>
    </row>
    <row r="39" spans="1:15" ht="18" customHeight="1" x14ac:dyDescent="0.2">
      <c r="A39" s="43">
        <f t="shared" si="0"/>
        <v>38</v>
      </c>
      <c r="B39" s="69" t="s">
        <v>556</v>
      </c>
      <c r="C39" s="230">
        <v>43743</v>
      </c>
      <c r="D39" s="69" t="s">
        <v>484</v>
      </c>
      <c r="E39" s="114" t="str">
        <f t="shared" si="1"/>
        <v>50 - 54</v>
      </c>
      <c r="F39" s="231">
        <v>1.2847222222222223E-2</v>
      </c>
      <c r="G39" s="232">
        <v>0.80359999999999998</v>
      </c>
      <c r="H39" s="229">
        <f t="shared" si="2"/>
        <v>74.31</v>
      </c>
      <c r="I39" s="125">
        <v>24862</v>
      </c>
      <c r="J39" s="43">
        <f t="shared" si="3"/>
        <v>51</v>
      </c>
      <c r="N39">
        <v>52</v>
      </c>
      <c r="O39" s="13" t="s">
        <v>309</v>
      </c>
    </row>
    <row r="40" spans="1:15" ht="18" customHeight="1" x14ac:dyDescent="0.2">
      <c r="A40" s="43">
        <f t="shared" si="0"/>
        <v>39</v>
      </c>
      <c r="B40" s="69" t="s">
        <v>557</v>
      </c>
      <c r="C40" s="230">
        <v>43470</v>
      </c>
      <c r="D40" s="69" t="s">
        <v>485</v>
      </c>
      <c r="E40" s="114" t="str">
        <f t="shared" si="1"/>
        <v>35 - 39</v>
      </c>
      <c r="F40" s="231">
        <v>1.1759259259259259E-2</v>
      </c>
      <c r="G40" s="232">
        <v>0.80020000000000002</v>
      </c>
      <c r="H40" s="229">
        <f t="shared" si="2"/>
        <v>73.61</v>
      </c>
      <c r="I40" s="125">
        <v>29137</v>
      </c>
      <c r="J40" s="43">
        <f t="shared" si="3"/>
        <v>39</v>
      </c>
      <c r="N40">
        <v>53</v>
      </c>
      <c r="O40" s="13" t="s">
        <v>309</v>
      </c>
    </row>
    <row r="41" spans="1:15" ht="18" customHeight="1" x14ac:dyDescent="0.2">
      <c r="A41" s="43">
        <f t="shared" si="0"/>
        <v>40</v>
      </c>
      <c r="B41" s="68" t="s">
        <v>558</v>
      </c>
      <c r="C41" s="230">
        <v>43722</v>
      </c>
      <c r="D41" s="68" t="s">
        <v>490</v>
      </c>
      <c r="E41" s="114" t="str">
        <f t="shared" si="1"/>
        <v>40 - 44</v>
      </c>
      <c r="F41" s="231">
        <v>1.2025462962962962E-2</v>
      </c>
      <c r="G41" s="232">
        <v>0.79979999999999996</v>
      </c>
      <c r="H41" s="229">
        <f t="shared" si="2"/>
        <v>72.92</v>
      </c>
      <c r="I41" s="125">
        <v>28051</v>
      </c>
      <c r="J41" s="43">
        <f t="shared" si="3"/>
        <v>42</v>
      </c>
      <c r="N41">
        <v>54</v>
      </c>
      <c r="O41" s="13" t="s">
        <v>309</v>
      </c>
    </row>
    <row r="42" spans="1:15" ht="18" customHeight="1" x14ac:dyDescent="0.2">
      <c r="A42" s="43">
        <f t="shared" si="0"/>
        <v>41</v>
      </c>
      <c r="B42" s="68" t="s">
        <v>559</v>
      </c>
      <c r="C42" s="230">
        <v>43617</v>
      </c>
      <c r="D42" s="68" t="s">
        <v>484</v>
      </c>
      <c r="E42" s="114" t="str">
        <f t="shared" si="1"/>
        <v>50 - 54</v>
      </c>
      <c r="F42" s="231">
        <v>1.3148148148148147E-2</v>
      </c>
      <c r="G42" s="232">
        <v>0.7984</v>
      </c>
      <c r="H42" s="229">
        <f t="shared" si="2"/>
        <v>72.22</v>
      </c>
      <c r="I42" s="125">
        <v>24057</v>
      </c>
      <c r="J42" s="43">
        <f t="shared" si="3"/>
        <v>53</v>
      </c>
      <c r="N42">
        <v>55</v>
      </c>
      <c r="O42" s="13" t="s">
        <v>310</v>
      </c>
    </row>
    <row r="43" spans="1:15" ht="18" customHeight="1" x14ac:dyDescent="0.2">
      <c r="A43" s="43">
        <f t="shared" si="0"/>
        <v>42</v>
      </c>
      <c r="B43" s="68" t="s">
        <v>560</v>
      </c>
      <c r="C43" s="230">
        <v>43568</v>
      </c>
      <c r="D43" s="68" t="s">
        <v>485</v>
      </c>
      <c r="E43" s="114" t="str">
        <f t="shared" si="1"/>
        <v>40 - 44</v>
      </c>
      <c r="F43" s="231">
        <v>1.3495370370370371E-2</v>
      </c>
      <c r="G43" s="232">
        <v>0.79759999999999998</v>
      </c>
      <c r="H43" s="229">
        <f t="shared" si="2"/>
        <v>71.53</v>
      </c>
      <c r="I43" s="125">
        <v>28142</v>
      </c>
      <c r="J43" s="43">
        <f t="shared" si="3"/>
        <v>42</v>
      </c>
      <c r="N43">
        <v>56</v>
      </c>
      <c r="O43" s="13" t="s">
        <v>310</v>
      </c>
    </row>
    <row r="44" spans="1:15" ht="18" customHeight="1" x14ac:dyDescent="0.2">
      <c r="A44" s="43">
        <f t="shared" si="0"/>
        <v>43</v>
      </c>
      <c r="B44" s="68" t="s">
        <v>561</v>
      </c>
      <c r="C44" s="230">
        <v>43540</v>
      </c>
      <c r="D44" s="68" t="s">
        <v>484</v>
      </c>
      <c r="E44" s="114" t="str">
        <f t="shared" si="1"/>
        <v>55 - 59</v>
      </c>
      <c r="F44" s="231">
        <v>1.3518518518518518E-2</v>
      </c>
      <c r="G44" s="232">
        <v>0.79620000000000002</v>
      </c>
      <c r="H44" s="229">
        <f t="shared" si="2"/>
        <v>70.83</v>
      </c>
      <c r="I44" s="125">
        <v>22905</v>
      </c>
      <c r="J44" s="43">
        <f t="shared" si="3"/>
        <v>56</v>
      </c>
      <c r="N44">
        <v>57</v>
      </c>
      <c r="O44" s="13" t="s">
        <v>310</v>
      </c>
    </row>
    <row r="45" spans="1:15" ht="18" customHeight="1" x14ac:dyDescent="0.2">
      <c r="A45" s="43">
        <f t="shared" si="0"/>
        <v>44</v>
      </c>
      <c r="B45" s="68" t="s">
        <v>562</v>
      </c>
      <c r="C45" s="230">
        <v>43484</v>
      </c>
      <c r="D45" s="68" t="s">
        <v>486</v>
      </c>
      <c r="E45" s="114" t="str">
        <f t="shared" si="1"/>
        <v>40 - 44</v>
      </c>
      <c r="F45" s="231">
        <v>1.2291666666666666E-2</v>
      </c>
      <c r="G45" s="232">
        <v>0.79469999999999996</v>
      </c>
      <c r="H45" s="229">
        <f t="shared" si="2"/>
        <v>70.14</v>
      </c>
      <c r="I45" s="125">
        <v>27341</v>
      </c>
      <c r="J45" s="43">
        <f t="shared" si="3"/>
        <v>44</v>
      </c>
      <c r="N45">
        <v>58</v>
      </c>
      <c r="O45" s="13" t="s">
        <v>310</v>
      </c>
    </row>
    <row r="46" spans="1:15" ht="18" customHeight="1" x14ac:dyDescent="0.2">
      <c r="A46" s="43">
        <f t="shared" si="0"/>
        <v>44</v>
      </c>
      <c r="B46" s="68" t="s">
        <v>563</v>
      </c>
      <c r="C46" s="230">
        <v>43466</v>
      </c>
      <c r="D46" s="68" t="s">
        <v>490</v>
      </c>
      <c r="E46" s="114" t="str">
        <f t="shared" si="1"/>
        <v>35 - 39</v>
      </c>
      <c r="F46" s="231">
        <v>1.1840277777777778E-2</v>
      </c>
      <c r="G46" s="232">
        <v>0.79469999999999996</v>
      </c>
      <c r="H46" s="229">
        <f t="shared" si="2"/>
        <v>70.14</v>
      </c>
      <c r="I46" s="125">
        <v>29009</v>
      </c>
      <c r="J46" s="43">
        <f t="shared" si="3"/>
        <v>39</v>
      </c>
      <c r="N46">
        <v>59</v>
      </c>
      <c r="O46" s="13" t="s">
        <v>310</v>
      </c>
    </row>
    <row r="47" spans="1:15" ht="18" customHeight="1" x14ac:dyDescent="0.2">
      <c r="A47" s="43">
        <f t="shared" si="0"/>
        <v>44</v>
      </c>
      <c r="B47" s="68" t="s">
        <v>564</v>
      </c>
      <c r="C47" s="230">
        <v>43568</v>
      </c>
      <c r="D47" s="68" t="s">
        <v>493</v>
      </c>
      <c r="E47" s="114" t="str">
        <f t="shared" si="1"/>
        <v>35 - 39</v>
      </c>
      <c r="F47" s="231">
        <v>1.1840277777777778E-2</v>
      </c>
      <c r="G47" s="232">
        <v>0.79469999999999996</v>
      </c>
      <c r="H47" s="229">
        <f t="shared" si="2"/>
        <v>70.14</v>
      </c>
      <c r="I47" s="125">
        <v>29171</v>
      </c>
      <c r="J47" s="43">
        <f t="shared" si="3"/>
        <v>39</v>
      </c>
      <c r="N47">
        <v>60</v>
      </c>
      <c r="O47" s="13" t="s">
        <v>311</v>
      </c>
    </row>
    <row r="48" spans="1:15" ht="18" customHeight="1" x14ac:dyDescent="0.2">
      <c r="A48" s="43">
        <f t="shared" si="0"/>
        <v>47</v>
      </c>
      <c r="B48" s="68" t="s">
        <v>565</v>
      </c>
      <c r="C48" s="230">
        <v>43512</v>
      </c>
      <c r="D48" s="68" t="s">
        <v>485</v>
      </c>
      <c r="E48" s="114" t="str">
        <f t="shared" si="1"/>
        <v>45 - 49</v>
      </c>
      <c r="F48" s="231">
        <v>1.2488425925925925E-2</v>
      </c>
      <c r="G48" s="232">
        <v>0.79430000000000001</v>
      </c>
      <c r="H48" s="229">
        <f t="shared" si="2"/>
        <v>68.06</v>
      </c>
      <c r="I48" s="125">
        <v>26508</v>
      </c>
      <c r="J48" s="43">
        <f t="shared" si="3"/>
        <v>46</v>
      </c>
      <c r="N48">
        <v>61</v>
      </c>
      <c r="O48" s="13" t="s">
        <v>311</v>
      </c>
    </row>
    <row r="49" spans="1:15" ht="18" customHeight="1" x14ac:dyDescent="0.2">
      <c r="A49" s="43">
        <f t="shared" si="0"/>
        <v>48</v>
      </c>
      <c r="B49" s="68" t="s">
        <v>566</v>
      </c>
      <c r="C49" s="230">
        <v>43624</v>
      </c>
      <c r="D49" s="68" t="s">
        <v>494</v>
      </c>
      <c r="E49" s="114" t="str">
        <f t="shared" si="1"/>
        <v>35 - 39</v>
      </c>
      <c r="F49" s="231">
        <v>1.1608796296296296E-2</v>
      </c>
      <c r="G49" s="232">
        <v>0.79359999999999997</v>
      </c>
      <c r="H49" s="229">
        <f t="shared" si="2"/>
        <v>67.36</v>
      </c>
      <c r="I49" s="125">
        <v>30275</v>
      </c>
      <c r="J49" s="43">
        <f t="shared" si="3"/>
        <v>36</v>
      </c>
      <c r="N49">
        <v>62</v>
      </c>
      <c r="O49" s="13" t="s">
        <v>311</v>
      </c>
    </row>
    <row r="50" spans="1:15" ht="18" customHeight="1" x14ac:dyDescent="0.2">
      <c r="A50" s="43">
        <f t="shared" si="0"/>
        <v>49</v>
      </c>
      <c r="B50" s="68" t="s">
        <v>567</v>
      </c>
      <c r="C50" s="230">
        <v>43624</v>
      </c>
      <c r="D50" s="68" t="s">
        <v>495</v>
      </c>
      <c r="E50" s="114" t="str">
        <f t="shared" si="1"/>
        <v>35 - 39</v>
      </c>
      <c r="F50" s="231">
        <v>1.1562499999999998E-2</v>
      </c>
      <c r="G50" s="232">
        <v>0.79179999999999995</v>
      </c>
      <c r="H50" s="229">
        <f t="shared" si="2"/>
        <v>66.67</v>
      </c>
      <c r="I50" s="125">
        <v>30631</v>
      </c>
      <c r="J50" s="43">
        <f t="shared" si="3"/>
        <v>35</v>
      </c>
      <c r="N50">
        <v>63</v>
      </c>
      <c r="O50" s="13" t="s">
        <v>311</v>
      </c>
    </row>
    <row r="51" spans="1:15" ht="18" customHeight="1" x14ac:dyDescent="0.2">
      <c r="A51" s="43">
        <f t="shared" si="0"/>
        <v>50</v>
      </c>
      <c r="B51" s="68" t="s">
        <v>568</v>
      </c>
      <c r="C51" s="230">
        <v>43540</v>
      </c>
      <c r="D51" s="68" t="s">
        <v>485</v>
      </c>
      <c r="E51" s="114" t="str">
        <f t="shared" si="1"/>
        <v>40 - 44</v>
      </c>
      <c r="F51" s="231">
        <v>1.3622685185185184E-2</v>
      </c>
      <c r="G51" s="232">
        <v>0.79010000000000002</v>
      </c>
      <c r="H51" s="229">
        <f t="shared" si="2"/>
        <v>65.97</v>
      </c>
      <c r="I51" s="125">
        <v>27905</v>
      </c>
      <c r="J51" s="43">
        <f t="shared" si="3"/>
        <v>43</v>
      </c>
      <c r="N51">
        <v>64</v>
      </c>
      <c r="O51" s="13" t="s">
        <v>311</v>
      </c>
    </row>
    <row r="52" spans="1:15" ht="18" customHeight="1" x14ac:dyDescent="0.2">
      <c r="A52" s="43">
        <f t="shared" si="0"/>
        <v>51</v>
      </c>
      <c r="B52" s="68" t="s">
        <v>569</v>
      </c>
      <c r="C52" s="230">
        <v>43624</v>
      </c>
      <c r="D52" s="68" t="s">
        <v>484</v>
      </c>
      <c r="E52" s="114" t="str">
        <f t="shared" si="1"/>
        <v>40 - 44</v>
      </c>
      <c r="F52" s="231">
        <v>1.2094907407407408E-2</v>
      </c>
      <c r="G52" s="232">
        <v>0.78949999999999998</v>
      </c>
      <c r="H52" s="229">
        <f t="shared" si="2"/>
        <v>65.28</v>
      </c>
      <c r="I52" s="125">
        <v>28607</v>
      </c>
      <c r="J52" s="43">
        <f t="shared" si="3"/>
        <v>41</v>
      </c>
      <c r="N52">
        <v>65</v>
      </c>
      <c r="O52" s="13" t="s">
        <v>312</v>
      </c>
    </row>
    <row r="53" spans="1:15" ht="18" customHeight="1" x14ac:dyDescent="0.2">
      <c r="A53" s="43">
        <f t="shared" si="0"/>
        <v>52</v>
      </c>
      <c r="B53" s="68" t="s">
        <v>570</v>
      </c>
      <c r="C53" s="230">
        <v>43603</v>
      </c>
      <c r="D53" s="68" t="s">
        <v>487</v>
      </c>
      <c r="E53" s="114" t="str">
        <f t="shared" si="1"/>
        <v>40 - 44</v>
      </c>
      <c r="F53" s="231">
        <v>1.2233796296296296E-2</v>
      </c>
      <c r="G53" s="232">
        <v>0.78620000000000001</v>
      </c>
      <c r="H53" s="229">
        <f t="shared" si="2"/>
        <v>64.58</v>
      </c>
      <c r="I53" s="125">
        <v>27917</v>
      </c>
      <c r="J53" s="43">
        <f t="shared" si="3"/>
        <v>42</v>
      </c>
      <c r="N53">
        <v>66</v>
      </c>
      <c r="O53" s="13" t="s">
        <v>312</v>
      </c>
    </row>
    <row r="54" spans="1:15" ht="18" customHeight="1" x14ac:dyDescent="0.2">
      <c r="A54" s="43">
        <f t="shared" si="0"/>
        <v>53</v>
      </c>
      <c r="B54" s="68" t="s">
        <v>571</v>
      </c>
      <c r="C54" s="230">
        <v>43470</v>
      </c>
      <c r="D54" s="68" t="s">
        <v>496</v>
      </c>
      <c r="E54" s="114" t="str">
        <f t="shared" si="1"/>
        <v>45 - 49</v>
      </c>
      <c r="F54" s="231">
        <v>1.2743055555555556E-2</v>
      </c>
      <c r="G54" s="232">
        <v>0.78469999999999995</v>
      </c>
      <c r="H54" s="229">
        <f t="shared" si="2"/>
        <v>63.89</v>
      </c>
      <c r="I54" s="125">
        <v>26125</v>
      </c>
      <c r="J54" s="43">
        <f t="shared" si="3"/>
        <v>47</v>
      </c>
      <c r="N54">
        <v>67</v>
      </c>
      <c r="O54" s="13" t="s">
        <v>312</v>
      </c>
    </row>
    <row r="55" spans="1:15" ht="18" customHeight="1" x14ac:dyDescent="0.2">
      <c r="A55" s="43">
        <f t="shared" si="0"/>
        <v>53</v>
      </c>
      <c r="B55" s="68" t="s">
        <v>572</v>
      </c>
      <c r="C55" s="230">
        <v>43582</v>
      </c>
      <c r="D55" s="68" t="s">
        <v>485</v>
      </c>
      <c r="E55" s="114" t="str">
        <f t="shared" si="1"/>
        <v>40 - 44</v>
      </c>
      <c r="F55" s="231">
        <v>1.2256944444444444E-2</v>
      </c>
      <c r="G55" s="232">
        <v>0.78469999999999995</v>
      </c>
      <c r="H55" s="229">
        <f t="shared" si="2"/>
        <v>63.89</v>
      </c>
      <c r="I55" s="125">
        <v>28172</v>
      </c>
      <c r="J55" s="43">
        <f t="shared" si="3"/>
        <v>42</v>
      </c>
      <c r="N55">
        <v>68</v>
      </c>
      <c r="O55" s="13" t="s">
        <v>312</v>
      </c>
    </row>
    <row r="56" spans="1:15" ht="18" customHeight="1" x14ac:dyDescent="0.2">
      <c r="A56" s="43">
        <f t="shared" si="0"/>
        <v>55</v>
      </c>
      <c r="B56" s="68" t="s">
        <v>573</v>
      </c>
      <c r="C56" s="230">
        <v>43715</v>
      </c>
      <c r="D56" s="68" t="s">
        <v>485</v>
      </c>
      <c r="E56" s="114" t="str">
        <f t="shared" si="1"/>
        <v>35 - 39</v>
      </c>
      <c r="F56" s="231">
        <v>1.357638888888889E-2</v>
      </c>
      <c r="G56" s="232">
        <v>0.78259999999999996</v>
      </c>
      <c r="H56" s="229">
        <f t="shared" si="2"/>
        <v>62.5</v>
      </c>
      <c r="I56" s="125">
        <v>29064</v>
      </c>
      <c r="J56" s="43">
        <f t="shared" si="3"/>
        <v>39</v>
      </c>
      <c r="N56">
        <v>69</v>
      </c>
      <c r="O56" s="13" t="s">
        <v>312</v>
      </c>
    </row>
    <row r="57" spans="1:15" ht="18" customHeight="1" x14ac:dyDescent="0.2">
      <c r="A57" s="43">
        <f t="shared" si="0"/>
        <v>56</v>
      </c>
      <c r="B57" s="68" t="s">
        <v>574</v>
      </c>
      <c r="C57" s="230">
        <v>43701</v>
      </c>
      <c r="D57" s="68" t="s">
        <v>497</v>
      </c>
      <c r="E57" s="114" t="str">
        <f t="shared" si="1"/>
        <v>40 - 44</v>
      </c>
      <c r="F57" s="231">
        <v>1.2395833333333335E-2</v>
      </c>
      <c r="G57" s="232">
        <v>0.78239999999999998</v>
      </c>
      <c r="H57" s="229">
        <f t="shared" si="2"/>
        <v>61.81</v>
      </c>
      <c r="I57" s="125">
        <v>27654</v>
      </c>
      <c r="J57" s="43">
        <f t="shared" si="3"/>
        <v>43</v>
      </c>
      <c r="N57">
        <v>70</v>
      </c>
      <c r="O57" s="13" t="s">
        <v>313</v>
      </c>
    </row>
    <row r="58" spans="1:15" ht="18" customHeight="1" x14ac:dyDescent="0.2">
      <c r="A58" s="43">
        <f t="shared" si="0"/>
        <v>57</v>
      </c>
      <c r="B58" s="68" t="s">
        <v>658</v>
      </c>
      <c r="C58" s="230">
        <v>43743</v>
      </c>
      <c r="D58" s="68" t="s">
        <v>487</v>
      </c>
      <c r="E58" s="114" t="str">
        <f t="shared" si="1"/>
        <v>25 - 29</v>
      </c>
      <c r="F58" s="231">
        <v>1.1458333333333334E-2</v>
      </c>
      <c r="G58" s="232">
        <v>0.78180000000000005</v>
      </c>
      <c r="H58" s="229">
        <f t="shared" si="2"/>
        <v>61.11</v>
      </c>
      <c r="I58" s="125">
        <v>33665</v>
      </c>
      <c r="J58" s="43">
        <f t="shared" si="3"/>
        <v>27</v>
      </c>
      <c r="N58">
        <v>71</v>
      </c>
      <c r="O58" s="13" t="s">
        <v>313</v>
      </c>
    </row>
    <row r="59" spans="1:15" ht="18" customHeight="1" x14ac:dyDescent="0.2">
      <c r="A59" s="43">
        <f t="shared" si="0"/>
        <v>58</v>
      </c>
      <c r="B59" s="68" t="s">
        <v>575</v>
      </c>
      <c r="C59" s="230">
        <v>43701</v>
      </c>
      <c r="D59" s="68" t="s">
        <v>485</v>
      </c>
      <c r="E59" s="114" t="str">
        <f t="shared" si="1"/>
        <v>65 - 69</v>
      </c>
      <c r="F59" s="231">
        <v>1.5127314814814816E-2</v>
      </c>
      <c r="G59" s="232">
        <v>0.77739999999999998</v>
      </c>
      <c r="H59" s="229">
        <f t="shared" si="2"/>
        <v>60.42</v>
      </c>
      <c r="I59" s="125">
        <v>19372</v>
      </c>
      <c r="J59" s="43">
        <f t="shared" si="3"/>
        <v>66</v>
      </c>
      <c r="N59">
        <v>72</v>
      </c>
      <c r="O59" s="13" t="s">
        <v>313</v>
      </c>
    </row>
    <row r="60" spans="1:15" ht="18" customHeight="1" x14ac:dyDescent="0.2">
      <c r="A60" s="43">
        <f t="shared" si="0"/>
        <v>59</v>
      </c>
      <c r="B60" s="68" t="s">
        <v>576</v>
      </c>
      <c r="C60" s="230">
        <v>43470</v>
      </c>
      <c r="D60" s="68" t="s">
        <v>487</v>
      </c>
      <c r="E60" s="114" t="str">
        <f t="shared" si="1"/>
        <v>45 - 49</v>
      </c>
      <c r="F60" s="231">
        <v>1.298611111111111E-2</v>
      </c>
      <c r="G60" s="232">
        <v>0.77629999999999999</v>
      </c>
      <c r="H60" s="229">
        <f t="shared" si="2"/>
        <v>59.72</v>
      </c>
      <c r="I60" s="125">
        <v>25876</v>
      </c>
      <c r="J60" s="43">
        <f t="shared" si="3"/>
        <v>48</v>
      </c>
      <c r="N60">
        <v>73</v>
      </c>
      <c r="O60" s="13" t="s">
        <v>313</v>
      </c>
    </row>
    <row r="61" spans="1:15" ht="18" customHeight="1" x14ac:dyDescent="0.2">
      <c r="A61" s="43">
        <f t="shared" si="0"/>
        <v>60</v>
      </c>
      <c r="B61" s="68" t="s">
        <v>577</v>
      </c>
      <c r="C61" s="230">
        <v>43694</v>
      </c>
      <c r="D61" s="68" t="s">
        <v>485</v>
      </c>
      <c r="E61" s="114" t="str">
        <f t="shared" si="1"/>
        <v>40 - 44</v>
      </c>
      <c r="F61" s="231">
        <v>1.2222222222222223E-2</v>
      </c>
      <c r="G61" s="232">
        <v>0.77559999999999996</v>
      </c>
      <c r="H61" s="229">
        <f t="shared" si="2"/>
        <v>59.03</v>
      </c>
      <c r="I61" s="125">
        <v>28958</v>
      </c>
      <c r="J61" s="43">
        <f t="shared" si="3"/>
        <v>40</v>
      </c>
      <c r="N61">
        <v>74</v>
      </c>
      <c r="O61" s="13" t="s">
        <v>313</v>
      </c>
    </row>
    <row r="62" spans="1:15" ht="18" customHeight="1" x14ac:dyDescent="0.2">
      <c r="A62" s="43">
        <f t="shared" si="0"/>
        <v>61</v>
      </c>
      <c r="B62" s="68" t="s">
        <v>578</v>
      </c>
      <c r="C62" s="230">
        <v>43680</v>
      </c>
      <c r="D62" s="68" t="s">
        <v>490</v>
      </c>
      <c r="E62" s="114" t="str">
        <f t="shared" si="1"/>
        <v>30 - 34</v>
      </c>
      <c r="F62" s="231">
        <v>1.1840277777777778E-2</v>
      </c>
      <c r="G62" s="232">
        <v>0.7752</v>
      </c>
      <c r="H62" s="229">
        <f t="shared" si="2"/>
        <v>58.33</v>
      </c>
      <c r="I62" s="125">
        <v>32398</v>
      </c>
      <c r="J62" s="43">
        <f t="shared" si="3"/>
        <v>30</v>
      </c>
      <c r="N62">
        <v>76</v>
      </c>
      <c r="O62" s="13" t="s">
        <v>314</v>
      </c>
    </row>
    <row r="63" spans="1:15" ht="18" customHeight="1" x14ac:dyDescent="0.2">
      <c r="A63" s="43">
        <f t="shared" si="0"/>
        <v>62</v>
      </c>
      <c r="B63" s="68" t="s">
        <v>579</v>
      </c>
      <c r="C63" s="230">
        <v>43491</v>
      </c>
      <c r="D63" s="68" t="s">
        <v>490</v>
      </c>
      <c r="E63" s="114" t="str">
        <f t="shared" si="1"/>
        <v>30 - 34</v>
      </c>
      <c r="F63" s="231">
        <v>1.1655092592592594E-2</v>
      </c>
      <c r="G63" s="232">
        <v>0.77459999999999996</v>
      </c>
      <c r="H63" s="229">
        <f t="shared" si="2"/>
        <v>57.64</v>
      </c>
      <c r="I63" s="125">
        <v>31589</v>
      </c>
      <c r="J63" s="43">
        <f t="shared" si="3"/>
        <v>32</v>
      </c>
    </row>
    <row r="64" spans="1:15" ht="18" customHeight="1" x14ac:dyDescent="0.2">
      <c r="A64" s="43">
        <f t="shared" si="0"/>
        <v>62</v>
      </c>
      <c r="B64" s="68" t="s">
        <v>580</v>
      </c>
      <c r="C64" s="230">
        <v>43673</v>
      </c>
      <c r="D64" s="68" t="s">
        <v>486</v>
      </c>
      <c r="E64" s="114" t="str">
        <f t="shared" si="1"/>
        <v>55 - 59</v>
      </c>
      <c r="F64" s="231">
        <v>1.4016203703703704E-2</v>
      </c>
      <c r="G64" s="232">
        <v>0.77459999999999996</v>
      </c>
      <c r="H64" s="229">
        <f t="shared" si="2"/>
        <v>57.64</v>
      </c>
      <c r="I64" s="125">
        <v>22533</v>
      </c>
      <c r="J64" s="43">
        <f t="shared" si="3"/>
        <v>57</v>
      </c>
    </row>
    <row r="65" spans="1:11" ht="18" customHeight="1" x14ac:dyDescent="0.2">
      <c r="A65" s="43">
        <f t="shared" si="0"/>
        <v>64</v>
      </c>
      <c r="B65" s="68" t="s">
        <v>581</v>
      </c>
      <c r="C65" s="230">
        <v>43466</v>
      </c>
      <c r="D65" s="68" t="s">
        <v>490</v>
      </c>
      <c r="E65" s="114" t="str">
        <f t="shared" si="1"/>
        <v>55 - 59</v>
      </c>
      <c r="F65" s="231">
        <v>1.4143518518518519E-2</v>
      </c>
      <c r="G65" s="232">
        <v>0.77410000000000001</v>
      </c>
      <c r="H65" s="229">
        <f t="shared" si="2"/>
        <v>56.25</v>
      </c>
      <c r="I65" s="125">
        <v>22192</v>
      </c>
      <c r="J65" s="43">
        <f t="shared" si="3"/>
        <v>58</v>
      </c>
    </row>
    <row r="66" spans="1:11" ht="18" customHeight="1" x14ac:dyDescent="0.2">
      <c r="A66" s="43">
        <f t="shared" si="0"/>
        <v>65</v>
      </c>
      <c r="B66" s="68" t="s">
        <v>582</v>
      </c>
      <c r="C66" s="230">
        <v>43512</v>
      </c>
      <c r="D66" s="68" t="s">
        <v>487</v>
      </c>
      <c r="E66" s="114" t="str">
        <f t="shared" si="1"/>
        <v>50 - 54</v>
      </c>
      <c r="F66" s="231">
        <v>1.5844907407407408E-2</v>
      </c>
      <c r="G66" s="232">
        <v>0.77280000000000004</v>
      </c>
      <c r="H66" s="229">
        <f t="shared" si="2"/>
        <v>55.56</v>
      </c>
      <c r="I66" s="125">
        <v>23628</v>
      </c>
      <c r="J66" s="43">
        <f t="shared" si="3"/>
        <v>54</v>
      </c>
    </row>
    <row r="67" spans="1:11" ht="18" customHeight="1" x14ac:dyDescent="0.2">
      <c r="A67" s="43">
        <f t="shared" ref="A67:A145" si="4">RANK(G67,$G$2:$G$145,0)</f>
        <v>66</v>
      </c>
      <c r="B67" s="68" t="s">
        <v>583</v>
      </c>
      <c r="C67" s="230">
        <v>43701</v>
      </c>
      <c r="D67" s="68" t="s">
        <v>485</v>
      </c>
      <c r="E67" s="114" t="str">
        <f t="shared" ref="E67:E145" si="5">VLOOKUP(J67,$N$2:$O$62,2,FALSE)</f>
        <v>35 - 39</v>
      </c>
      <c r="F67" s="231">
        <v>1.2002314814814815E-2</v>
      </c>
      <c r="G67" s="232">
        <v>0.77239999999999998</v>
      </c>
      <c r="H67" s="229">
        <f t="shared" ref="H67:H145" si="6">ROUND(100-((100/$B$147)*(A67-1)),2)</f>
        <v>54.86</v>
      </c>
      <c r="I67" s="125">
        <v>30013</v>
      </c>
      <c r="J67" s="43">
        <f t="shared" ref="J67:J145" si="7">DATEDIF(I67,$C$2,"y")</f>
        <v>37</v>
      </c>
    </row>
    <row r="68" spans="1:11" ht="18" customHeight="1" x14ac:dyDescent="0.2">
      <c r="A68" s="43">
        <f t="shared" si="4"/>
        <v>67</v>
      </c>
      <c r="B68" s="68" t="s">
        <v>584</v>
      </c>
      <c r="C68" s="230">
        <v>43631</v>
      </c>
      <c r="D68" s="68" t="s">
        <v>497</v>
      </c>
      <c r="E68" s="114" t="str">
        <f t="shared" si="5"/>
        <v>40 - 44</v>
      </c>
      <c r="F68" s="231">
        <v>1.2407407407407409E-2</v>
      </c>
      <c r="G68" s="232">
        <v>0.76959999999999995</v>
      </c>
      <c r="H68" s="229">
        <f t="shared" si="6"/>
        <v>54.17</v>
      </c>
      <c r="I68" s="125">
        <v>28649</v>
      </c>
      <c r="J68" s="43">
        <f t="shared" si="7"/>
        <v>40</v>
      </c>
    </row>
    <row r="69" spans="1:11" ht="18" customHeight="1" x14ac:dyDescent="0.2">
      <c r="A69" s="43">
        <f t="shared" si="4"/>
        <v>67</v>
      </c>
      <c r="B69" s="68" t="s">
        <v>585</v>
      </c>
      <c r="C69" s="230">
        <v>43589</v>
      </c>
      <c r="D69" s="68" t="s">
        <v>487</v>
      </c>
      <c r="E69" s="114" t="str">
        <f t="shared" si="5"/>
        <v>50 - 54</v>
      </c>
      <c r="F69" s="231">
        <v>1.3414351851851851E-2</v>
      </c>
      <c r="G69" s="232">
        <v>0.76959999999999995</v>
      </c>
      <c r="H69" s="229">
        <f t="shared" si="6"/>
        <v>54.17</v>
      </c>
      <c r="I69" s="125">
        <v>24803</v>
      </c>
      <c r="J69" s="43">
        <f t="shared" si="7"/>
        <v>51</v>
      </c>
    </row>
    <row r="70" spans="1:11" ht="18" customHeight="1" x14ac:dyDescent="0.2">
      <c r="A70" s="43">
        <f t="shared" si="4"/>
        <v>69</v>
      </c>
      <c r="B70" s="68" t="s">
        <v>586</v>
      </c>
      <c r="C70" s="230">
        <v>43568</v>
      </c>
      <c r="D70" s="68" t="s">
        <v>498</v>
      </c>
      <c r="E70" s="114" t="str">
        <f t="shared" si="5"/>
        <v>35 - 39</v>
      </c>
      <c r="F70" s="231">
        <v>1.2256944444444444E-2</v>
      </c>
      <c r="G70" s="232">
        <v>0.76770000000000005</v>
      </c>
      <c r="H70" s="229">
        <f t="shared" si="6"/>
        <v>52.78</v>
      </c>
      <c r="I70" s="125">
        <v>29141</v>
      </c>
      <c r="J70" s="43">
        <f t="shared" si="7"/>
        <v>39</v>
      </c>
    </row>
    <row r="71" spans="1:11" ht="18" customHeight="1" x14ac:dyDescent="0.2">
      <c r="A71" s="43">
        <f t="shared" si="4"/>
        <v>70</v>
      </c>
      <c r="B71" s="68" t="s">
        <v>587</v>
      </c>
      <c r="C71" s="230">
        <v>43701</v>
      </c>
      <c r="D71" s="68" t="s">
        <v>484</v>
      </c>
      <c r="E71" s="114" t="str">
        <f t="shared" si="5"/>
        <v>45 - 49</v>
      </c>
      <c r="F71" s="231">
        <v>1.3055555555555556E-2</v>
      </c>
      <c r="G71" s="232">
        <v>0.76600000000000001</v>
      </c>
      <c r="H71" s="229">
        <f t="shared" si="6"/>
        <v>52.08</v>
      </c>
      <c r="I71" s="125">
        <v>26441</v>
      </c>
      <c r="J71" s="43">
        <f t="shared" si="7"/>
        <v>47</v>
      </c>
    </row>
    <row r="72" spans="1:11" ht="18" customHeight="1" x14ac:dyDescent="0.2">
      <c r="A72" s="43">
        <f t="shared" si="4"/>
        <v>71</v>
      </c>
      <c r="B72" s="68" t="s">
        <v>588</v>
      </c>
      <c r="C72" s="230">
        <v>43617</v>
      </c>
      <c r="D72" s="68" t="s">
        <v>499</v>
      </c>
      <c r="E72" s="114" t="str">
        <f t="shared" si="5"/>
        <v>40 - 44</v>
      </c>
      <c r="F72" s="231">
        <v>1.2569444444444446E-2</v>
      </c>
      <c r="G72" s="232">
        <v>0.76519999999999999</v>
      </c>
      <c r="H72" s="229">
        <f t="shared" si="6"/>
        <v>51.39</v>
      </c>
      <c r="I72" s="125">
        <v>28179</v>
      </c>
      <c r="J72" s="43">
        <f t="shared" si="7"/>
        <v>42</v>
      </c>
    </row>
    <row r="73" spans="1:11" ht="18" customHeight="1" x14ac:dyDescent="0.2">
      <c r="A73" s="43">
        <f t="shared" si="4"/>
        <v>72</v>
      </c>
      <c r="B73" s="68" t="s">
        <v>589</v>
      </c>
      <c r="C73" s="230">
        <v>43708</v>
      </c>
      <c r="D73" s="68" t="s">
        <v>485</v>
      </c>
      <c r="E73" s="114" t="str">
        <f t="shared" si="5"/>
        <v>45 - 49</v>
      </c>
      <c r="F73" s="231">
        <v>1.3275462962962963E-2</v>
      </c>
      <c r="G73" s="232">
        <v>0.75939999999999996</v>
      </c>
      <c r="H73" s="229">
        <f t="shared" si="6"/>
        <v>50.69</v>
      </c>
      <c r="I73" s="125">
        <v>26101</v>
      </c>
      <c r="J73" s="43">
        <f t="shared" si="7"/>
        <v>47</v>
      </c>
    </row>
    <row r="74" spans="1:11" ht="18" customHeight="1" x14ac:dyDescent="0.2">
      <c r="A74" s="43">
        <f t="shared" si="4"/>
        <v>73</v>
      </c>
      <c r="B74" s="68" t="s">
        <v>590</v>
      </c>
      <c r="C74" s="230">
        <v>43561</v>
      </c>
      <c r="D74" s="68" t="s">
        <v>485</v>
      </c>
      <c r="E74" s="114" t="str">
        <f t="shared" si="5"/>
        <v>40 - 44</v>
      </c>
      <c r="F74" s="231">
        <v>1.2581018518518519E-2</v>
      </c>
      <c r="G74" s="232">
        <v>0.75900000000000001</v>
      </c>
      <c r="H74" s="229">
        <f t="shared" si="6"/>
        <v>50</v>
      </c>
      <c r="I74" s="125">
        <v>28558</v>
      </c>
      <c r="J74" s="43">
        <f t="shared" si="7"/>
        <v>41</v>
      </c>
    </row>
    <row r="75" spans="1:11" ht="18" customHeight="1" x14ac:dyDescent="0.2">
      <c r="A75" s="43">
        <f t="shared" si="4"/>
        <v>74</v>
      </c>
      <c r="B75" s="68" t="s">
        <v>591</v>
      </c>
      <c r="C75" s="230">
        <v>43575</v>
      </c>
      <c r="D75" s="68" t="s">
        <v>484</v>
      </c>
      <c r="E75" s="114" t="str">
        <f t="shared" si="5"/>
        <v>55 - 59</v>
      </c>
      <c r="F75" s="231">
        <v>1.4155092592592592E-2</v>
      </c>
      <c r="G75" s="232">
        <v>0.75390000000000001</v>
      </c>
      <c r="H75" s="229">
        <f t="shared" si="6"/>
        <v>49.31</v>
      </c>
      <c r="I75" s="125">
        <v>23431</v>
      </c>
      <c r="J75" s="43">
        <f t="shared" si="7"/>
        <v>55</v>
      </c>
    </row>
    <row r="76" spans="1:11" ht="18" customHeight="1" x14ac:dyDescent="0.2">
      <c r="A76" s="43">
        <f t="shared" si="4"/>
        <v>75</v>
      </c>
      <c r="B76" s="68" t="s">
        <v>592</v>
      </c>
      <c r="C76" s="230">
        <v>43743</v>
      </c>
      <c r="D76" s="68" t="s">
        <v>500</v>
      </c>
      <c r="E76" s="114" t="str">
        <f t="shared" si="5"/>
        <v>40 - 44</v>
      </c>
      <c r="F76" s="231">
        <v>1.2766203703703703E-2</v>
      </c>
      <c r="G76" s="232">
        <v>0.748</v>
      </c>
      <c r="H76" s="229">
        <f t="shared" si="6"/>
        <v>48.61</v>
      </c>
      <c r="I76" s="125">
        <v>28651</v>
      </c>
      <c r="J76" s="43">
        <f t="shared" si="7"/>
        <v>40</v>
      </c>
    </row>
    <row r="77" spans="1:11" ht="18" customHeight="1" x14ac:dyDescent="0.2">
      <c r="A77" s="43">
        <f t="shared" si="4"/>
        <v>76</v>
      </c>
      <c r="B77" s="68" t="s">
        <v>593</v>
      </c>
      <c r="C77" s="230">
        <v>43743</v>
      </c>
      <c r="D77" s="68" t="s">
        <v>487</v>
      </c>
      <c r="E77" s="114" t="str">
        <f t="shared" si="5"/>
        <v>35 - 39</v>
      </c>
      <c r="F77" s="231">
        <v>1.2326388888888888E-2</v>
      </c>
      <c r="G77" s="232">
        <v>0.74739999999999995</v>
      </c>
      <c r="H77" s="229">
        <f t="shared" si="6"/>
        <v>47.92</v>
      </c>
      <c r="I77" s="125">
        <v>30234</v>
      </c>
      <c r="J77" s="43">
        <f t="shared" si="7"/>
        <v>36</v>
      </c>
    </row>
    <row r="78" spans="1:11" ht="18" customHeight="1" x14ac:dyDescent="0.2">
      <c r="A78" s="43">
        <f t="shared" si="4"/>
        <v>77</v>
      </c>
      <c r="B78" s="68" t="s">
        <v>594</v>
      </c>
      <c r="C78" s="230">
        <v>43466</v>
      </c>
      <c r="D78" s="68" t="s">
        <v>487</v>
      </c>
      <c r="E78" s="114" t="str">
        <f t="shared" si="5"/>
        <v>35 - 39</v>
      </c>
      <c r="F78" s="231">
        <v>1.2418981481481482E-2</v>
      </c>
      <c r="G78" s="232">
        <v>0.74650000000000005</v>
      </c>
      <c r="H78" s="229">
        <f t="shared" si="6"/>
        <v>47.22</v>
      </c>
      <c r="I78" s="125">
        <v>29941</v>
      </c>
      <c r="J78" s="43">
        <f t="shared" si="7"/>
        <v>37</v>
      </c>
      <c r="K78" s="189"/>
    </row>
    <row r="79" spans="1:11" ht="18" customHeight="1" x14ac:dyDescent="0.2">
      <c r="A79" s="43">
        <f t="shared" si="4"/>
        <v>78</v>
      </c>
      <c r="B79" s="68" t="s">
        <v>595</v>
      </c>
      <c r="C79" s="230">
        <v>43687</v>
      </c>
      <c r="D79" s="68" t="s">
        <v>502</v>
      </c>
      <c r="E79" s="114" t="str">
        <f t="shared" si="5"/>
        <v>45 - 49</v>
      </c>
      <c r="F79" s="231">
        <v>1.3310185185185187E-2</v>
      </c>
      <c r="G79" s="232">
        <v>0.74519999999999997</v>
      </c>
      <c r="H79" s="229">
        <f t="shared" si="6"/>
        <v>46.53</v>
      </c>
      <c r="I79" s="125">
        <v>26857</v>
      </c>
      <c r="J79" s="43">
        <f t="shared" si="7"/>
        <v>45</v>
      </c>
    </row>
    <row r="80" spans="1:11" ht="18" customHeight="1" x14ac:dyDescent="0.2">
      <c r="A80" s="43">
        <f t="shared" si="4"/>
        <v>78</v>
      </c>
      <c r="B80" s="68" t="s">
        <v>596</v>
      </c>
      <c r="C80" s="230">
        <v>43652</v>
      </c>
      <c r="D80" s="68" t="s">
        <v>501</v>
      </c>
      <c r="E80" s="114" t="str">
        <f t="shared" si="5"/>
        <v>40 - 44</v>
      </c>
      <c r="F80" s="231">
        <v>1.2719907407407407E-2</v>
      </c>
      <c r="G80" s="232">
        <v>0.74519999999999997</v>
      </c>
      <c r="H80" s="229">
        <f t="shared" si="6"/>
        <v>46.53</v>
      </c>
      <c r="I80" s="125">
        <v>28707</v>
      </c>
      <c r="J80" s="43">
        <f t="shared" si="7"/>
        <v>40</v>
      </c>
    </row>
    <row r="81" spans="1:11" ht="18" customHeight="1" x14ac:dyDescent="0.2">
      <c r="A81" s="43">
        <f t="shared" si="4"/>
        <v>80</v>
      </c>
      <c r="B81" s="68" t="s">
        <v>597</v>
      </c>
      <c r="C81" s="230">
        <v>43736</v>
      </c>
      <c r="D81" s="68" t="s">
        <v>487</v>
      </c>
      <c r="E81" s="114" t="str">
        <f t="shared" si="5"/>
        <v>50 - 54</v>
      </c>
      <c r="F81" s="231">
        <v>1.4004629629629631E-2</v>
      </c>
      <c r="G81" s="232">
        <v>0.74460000000000004</v>
      </c>
      <c r="H81" s="229">
        <f t="shared" si="6"/>
        <v>45.14</v>
      </c>
      <c r="I81" s="125">
        <v>24264</v>
      </c>
      <c r="J81" s="43">
        <f t="shared" si="7"/>
        <v>52</v>
      </c>
    </row>
    <row r="82" spans="1:11" ht="18" customHeight="1" x14ac:dyDescent="0.2">
      <c r="A82" s="43">
        <f t="shared" si="4"/>
        <v>81</v>
      </c>
      <c r="B82" s="68" t="s">
        <v>598</v>
      </c>
      <c r="C82" s="230">
        <v>43484</v>
      </c>
      <c r="D82" s="68" t="s">
        <v>503</v>
      </c>
      <c r="E82" s="114" t="str">
        <f t="shared" si="5"/>
        <v>45 - 49</v>
      </c>
      <c r="F82" s="231">
        <v>1.3692129629629629E-2</v>
      </c>
      <c r="G82" s="232">
        <v>0.74219999999999997</v>
      </c>
      <c r="H82" s="229">
        <f t="shared" si="6"/>
        <v>44.44</v>
      </c>
      <c r="I82" s="125">
        <v>25581</v>
      </c>
      <c r="J82" s="43">
        <f t="shared" si="7"/>
        <v>49</v>
      </c>
    </row>
    <row r="83" spans="1:11" ht="18" customHeight="1" x14ac:dyDescent="0.2">
      <c r="A83" s="43">
        <f t="shared" si="4"/>
        <v>82</v>
      </c>
      <c r="B83" s="68" t="s">
        <v>599</v>
      </c>
      <c r="C83" s="230">
        <v>43652</v>
      </c>
      <c r="D83" s="68" t="s">
        <v>504</v>
      </c>
      <c r="E83" s="114" t="str">
        <f t="shared" si="5"/>
        <v>45 - 49</v>
      </c>
      <c r="F83" s="231">
        <v>1.3506944444444445E-2</v>
      </c>
      <c r="G83" s="232">
        <v>0.74039999999999995</v>
      </c>
      <c r="H83" s="229">
        <f t="shared" si="6"/>
        <v>43.75</v>
      </c>
      <c r="I83" s="125">
        <v>26469</v>
      </c>
      <c r="J83" s="43">
        <f t="shared" si="7"/>
        <v>46</v>
      </c>
    </row>
    <row r="84" spans="1:11" ht="18" customHeight="1" x14ac:dyDescent="0.2">
      <c r="A84" s="43">
        <f t="shared" si="4"/>
        <v>83</v>
      </c>
      <c r="B84" s="68" t="s">
        <v>600</v>
      </c>
      <c r="C84" s="230">
        <v>43624</v>
      </c>
      <c r="D84" s="68" t="s">
        <v>505</v>
      </c>
      <c r="E84" s="114" t="str">
        <f t="shared" si="5"/>
        <v>55 - 59</v>
      </c>
      <c r="F84" s="231">
        <v>1.7453703703703704E-2</v>
      </c>
      <c r="G84" s="232">
        <v>0.74009999999999998</v>
      </c>
      <c r="H84" s="229">
        <f t="shared" si="6"/>
        <v>43.06</v>
      </c>
      <c r="I84" s="125">
        <v>22265</v>
      </c>
      <c r="J84" s="43">
        <f t="shared" si="7"/>
        <v>58</v>
      </c>
    </row>
    <row r="85" spans="1:11" ht="18" customHeight="1" x14ac:dyDescent="0.2">
      <c r="A85" s="43">
        <f t="shared" si="4"/>
        <v>84</v>
      </c>
      <c r="B85" s="68" t="s">
        <v>601</v>
      </c>
      <c r="C85" s="230">
        <v>43477</v>
      </c>
      <c r="D85" s="68" t="s">
        <v>506</v>
      </c>
      <c r="E85" s="114" t="str">
        <f t="shared" si="5"/>
        <v>35 - 39</v>
      </c>
      <c r="F85" s="231">
        <v>1.2673611111111109E-2</v>
      </c>
      <c r="G85" s="232">
        <v>0.73699999999999999</v>
      </c>
      <c r="H85" s="229">
        <f t="shared" si="6"/>
        <v>42.36</v>
      </c>
      <c r="I85" s="125">
        <v>29280</v>
      </c>
      <c r="J85" s="43">
        <f t="shared" si="7"/>
        <v>39</v>
      </c>
    </row>
    <row r="86" spans="1:11" ht="18" customHeight="1" x14ac:dyDescent="0.2">
      <c r="A86" s="43">
        <f t="shared" si="4"/>
        <v>85</v>
      </c>
      <c r="B86" s="68" t="s">
        <v>481</v>
      </c>
      <c r="C86" s="230">
        <v>43561</v>
      </c>
      <c r="D86" s="68" t="s">
        <v>485</v>
      </c>
      <c r="E86" s="114" t="str">
        <f t="shared" si="5"/>
        <v>45 - 49</v>
      </c>
      <c r="F86" s="231">
        <v>1.3692129629629629E-2</v>
      </c>
      <c r="G86" s="232">
        <v>0.73629999999999995</v>
      </c>
      <c r="H86" s="229">
        <f t="shared" si="6"/>
        <v>41.67</v>
      </c>
      <c r="I86" s="125">
        <v>25984</v>
      </c>
      <c r="J86" s="43">
        <f t="shared" si="7"/>
        <v>48</v>
      </c>
    </row>
    <row r="87" spans="1:11" ht="18" customHeight="1" x14ac:dyDescent="0.2">
      <c r="A87" s="43">
        <f t="shared" si="4"/>
        <v>86</v>
      </c>
      <c r="B87" s="68" t="s">
        <v>602</v>
      </c>
      <c r="C87" s="230">
        <v>43512</v>
      </c>
      <c r="D87" s="68" t="s">
        <v>504</v>
      </c>
      <c r="E87" s="114" t="str">
        <f t="shared" si="5"/>
        <v>40 - 44</v>
      </c>
      <c r="F87" s="231">
        <v>1.3310185185185187E-2</v>
      </c>
      <c r="G87" s="232">
        <v>0.7339</v>
      </c>
      <c r="H87" s="229">
        <f t="shared" si="6"/>
        <v>40.97</v>
      </c>
      <c r="I87" s="125">
        <v>27413</v>
      </c>
      <c r="J87" s="43">
        <f t="shared" si="7"/>
        <v>44</v>
      </c>
    </row>
    <row r="88" spans="1:11" ht="18" customHeight="1" x14ac:dyDescent="0.2">
      <c r="A88" s="43">
        <f t="shared" si="4"/>
        <v>87</v>
      </c>
      <c r="B88" s="68" t="s">
        <v>603</v>
      </c>
      <c r="C88" s="230">
        <v>43470</v>
      </c>
      <c r="D88" s="68" t="s">
        <v>485</v>
      </c>
      <c r="E88" s="114" t="str">
        <f t="shared" si="5"/>
        <v>55 - 59</v>
      </c>
      <c r="F88" s="231">
        <v>1.4444444444444446E-2</v>
      </c>
      <c r="G88" s="232">
        <v>0.73240000000000005</v>
      </c>
      <c r="H88" s="229">
        <f t="shared" si="6"/>
        <v>40.28</v>
      </c>
      <c r="I88" s="125">
        <v>23504</v>
      </c>
      <c r="J88" s="43">
        <f t="shared" si="7"/>
        <v>55</v>
      </c>
    </row>
    <row r="89" spans="1:11" ht="18" customHeight="1" x14ac:dyDescent="0.2">
      <c r="A89" s="43">
        <f t="shared" si="4"/>
        <v>88</v>
      </c>
      <c r="B89" s="68" t="s">
        <v>604</v>
      </c>
      <c r="C89" s="230">
        <v>43575</v>
      </c>
      <c r="D89" s="68" t="s">
        <v>507</v>
      </c>
      <c r="E89" s="114" t="str">
        <f t="shared" si="5"/>
        <v>45 - 49</v>
      </c>
      <c r="F89" s="231">
        <v>1.3657407407407408E-2</v>
      </c>
      <c r="G89" s="232">
        <v>0.73219999999999996</v>
      </c>
      <c r="H89" s="229">
        <f t="shared" si="6"/>
        <v>39.58</v>
      </c>
      <c r="I89" s="125">
        <v>26323</v>
      </c>
      <c r="J89" s="43">
        <f t="shared" si="7"/>
        <v>47</v>
      </c>
    </row>
    <row r="90" spans="1:11" ht="18" customHeight="1" x14ac:dyDescent="0.2">
      <c r="A90" s="43">
        <f t="shared" si="4"/>
        <v>89</v>
      </c>
      <c r="B90" s="68" t="s">
        <v>605</v>
      </c>
      <c r="C90" s="230">
        <v>43519</v>
      </c>
      <c r="D90" s="68" t="s">
        <v>487</v>
      </c>
      <c r="E90" s="114" t="str">
        <f t="shared" si="5"/>
        <v>45 - 49</v>
      </c>
      <c r="F90" s="231">
        <v>1.3935185185185184E-2</v>
      </c>
      <c r="G90" s="232">
        <v>0.72919999999999996</v>
      </c>
      <c r="H90" s="229">
        <f t="shared" si="6"/>
        <v>38.89</v>
      </c>
      <c r="I90" s="125">
        <v>25449</v>
      </c>
      <c r="J90" s="43">
        <f t="shared" si="7"/>
        <v>49</v>
      </c>
    </row>
    <row r="91" spans="1:11" ht="18" customHeight="1" x14ac:dyDescent="0.2">
      <c r="A91" s="43">
        <f t="shared" si="4"/>
        <v>90</v>
      </c>
      <c r="B91" s="68" t="s">
        <v>606</v>
      </c>
      <c r="C91" s="230">
        <v>43484</v>
      </c>
      <c r="D91" s="68" t="s">
        <v>485</v>
      </c>
      <c r="E91" s="114" t="str">
        <f t="shared" si="5"/>
        <v>30 - 34</v>
      </c>
      <c r="F91" s="231">
        <v>1.3773148148148147E-2</v>
      </c>
      <c r="G91" s="232">
        <v>0.72460000000000002</v>
      </c>
      <c r="H91" s="229">
        <f t="shared" si="6"/>
        <v>38.19</v>
      </c>
      <c r="I91" s="125">
        <v>31157</v>
      </c>
      <c r="J91" s="43">
        <f t="shared" si="7"/>
        <v>34</v>
      </c>
    </row>
    <row r="92" spans="1:11" ht="18" customHeight="1" x14ac:dyDescent="0.2">
      <c r="A92" s="43">
        <f t="shared" si="4"/>
        <v>91</v>
      </c>
      <c r="B92" s="68" t="s">
        <v>607</v>
      </c>
      <c r="C92" s="230">
        <v>43512</v>
      </c>
      <c r="D92" s="68" t="s">
        <v>487</v>
      </c>
      <c r="E92" s="114" t="str">
        <f t="shared" si="5"/>
        <v>40 - 44</v>
      </c>
      <c r="F92" s="231">
        <v>1.5104166666666667E-2</v>
      </c>
      <c r="G92" s="232">
        <v>0.72340000000000004</v>
      </c>
      <c r="H92" s="229">
        <f t="shared" si="6"/>
        <v>37.5</v>
      </c>
      <c r="I92" s="125">
        <v>27406</v>
      </c>
      <c r="J92" s="43">
        <f t="shared" si="7"/>
        <v>44</v>
      </c>
    </row>
    <row r="93" spans="1:11" ht="18" customHeight="1" x14ac:dyDescent="0.2">
      <c r="A93" s="43">
        <f t="shared" si="4"/>
        <v>92</v>
      </c>
      <c r="B93" s="68" t="s">
        <v>674</v>
      </c>
      <c r="C93" s="230">
        <v>43743</v>
      </c>
      <c r="D93" s="68" t="s">
        <v>508</v>
      </c>
      <c r="E93" s="114" t="str">
        <f t="shared" si="5"/>
        <v>45 - 49</v>
      </c>
      <c r="F93" s="231">
        <v>1.3946759259259258E-2</v>
      </c>
      <c r="G93" s="232">
        <v>0.7228</v>
      </c>
      <c r="H93" s="229">
        <f t="shared" si="6"/>
        <v>36.81</v>
      </c>
      <c r="I93" s="125">
        <v>26030</v>
      </c>
      <c r="J93" s="43">
        <f t="shared" si="7"/>
        <v>48</v>
      </c>
    </row>
    <row r="94" spans="1:11" ht="18" customHeight="1" x14ac:dyDescent="0.2">
      <c r="A94" s="43">
        <f t="shared" si="4"/>
        <v>93</v>
      </c>
      <c r="B94" s="68" t="s">
        <v>608</v>
      </c>
      <c r="C94" s="230">
        <v>43617</v>
      </c>
      <c r="D94" s="68" t="s">
        <v>509</v>
      </c>
      <c r="E94" s="114" t="str">
        <f t="shared" si="5"/>
        <v>40 - 44</v>
      </c>
      <c r="F94" s="231">
        <v>1.3530092592592594E-2</v>
      </c>
      <c r="G94" s="232">
        <v>0.72199999999999998</v>
      </c>
      <c r="H94" s="229">
        <f t="shared" si="6"/>
        <v>36.11</v>
      </c>
      <c r="I94" s="125">
        <v>27260</v>
      </c>
      <c r="J94" s="43">
        <f t="shared" si="7"/>
        <v>44</v>
      </c>
      <c r="K94" s="189"/>
    </row>
    <row r="95" spans="1:11" ht="18" customHeight="1" x14ac:dyDescent="0.2">
      <c r="A95" s="43">
        <f t="shared" si="4"/>
        <v>94</v>
      </c>
      <c r="B95" s="68" t="s">
        <v>609</v>
      </c>
      <c r="C95" s="230">
        <v>43743</v>
      </c>
      <c r="D95" s="68" t="s">
        <v>487</v>
      </c>
      <c r="E95" s="114" t="str">
        <f t="shared" si="5"/>
        <v>50 - 54</v>
      </c>
      <c r="F95" s="231">
        <v>1.4305555555555557E-2</v>
      </c>
      <c r="G95" s="232">
        <v>0.72170000000000001</v>
      </c>
      <c r="H95" s="229">
        <f t="shared" si="6"/>
        <v>35.42</v>
      </c>
      <c r="I95" s="125">
        <v>24987</v>
      </c>
      <c r="J95" s="43">
        <f t="shared" si="7"/>
        <v>50</v>
      </c>
    </row>
    <row r="96" spans="1:11" ht="18" customHeight="1" x14ac:dyDescent="0.2">
      <c r="A96" s="43">
        <f t="shared" si="4"/>
        <v>95</v>
      </c>
      <c r="B96" s="68" t="s">
        <v>610</v>
      </c>
      <c r="C96" s="230">
        <v>43575</v>
      </c>
      <c r="D96" s="68" t="s">
        <v>510</v>
      </c>
      <c r="E96" s="114" t="str">
        <f t="shared" si="5"/>
        <v>40 - 44</v>
      </c>
      <c r="F96" s="231">
        <v>1.3553240740740741E-2</v>
      </c>
      <c r="G96" s="232">
        <v>0.7208</v>
      </c>
      <c r="H96" s="229">
        <f t="shared" si="6"/>
        <v>34.72</v>
      </c>
      <c r="I96" s="125">
        <v>27236</v>
      </c>
      <c r="J96" s="43">
        <f t="shared" si="7"/>
        <v>44</v>
      </c>
    </row>
    <row r="97" spans="1:10" ht="18" customHeight="1" x14ac:dyDescent="0.2">
      <c r="A97" s="43">
        <f t="shared" si="4"/>
        <v>96</v>
      </c>
      <c r="B97" s="68" t="s">
        <v>611</v>
      </c>
      <c r="C97" s="230">
        <v>43645</v>
      </c>
      <c r="D97" s="68" t="s">
        <v>511</v>
      </c>
      <c r="E97" s="114" t="str">
        <f t="shared" si="5"/>
        <v>55 - 59</v>
      </c>
      <c r="F97" s="231">
        <v>1.5092592592592593E-2</v>
      </c>
      <c r="G97" s="232">
        <v>0.71930000000000005</v>
      </c>
      <c r="H97" s="229">
        <f t="shared" si="6"/>
        <v>34.03</v>
      </c>
      <c r="I97" s="125">
        <v>22574</v>
      </c>
      <c r="J97" s="43">
        <f t="shared" si="7"/>
        <v>57</v>
      </c>
    </row>
    <row r="98" spans="1:10" ht="18" customHeight="1" x14ac:dyDescent="0.2">
      <c r="A98" s="43">
        <f t="shared" si="4"/>
        <v>97</v>
      </c>
      <c r="B98" s="68" t="s">
        <v>612</v>
      </c>
      <c r="C98" s="230">
        <v>43652</v>
      </c>
      <c r="D98" s="68" t="s">
        <v>497</v>
      </c>
      <c r="E98" s="114" t="str">
        <f t="shared" si="5"/>
        <v>50 - 54</v>
      </c>
      <c r="F98" s="231">
        <v>1.4467592592592593E-2</v>
      </c>
      <c r="G98" s="232">
        <v>0.71919999999999995</v>
      </c>
      <c r="H98" s="229">
        <f t="shared" si="6"/>
        <v>33.33</v>
      </c>
      <c r="I98" s="125">
        <v>24391</v>
      </c>
      <c r="J98" s="43">
        <f t="shared" si="7"/>
        <v>52</v>
      </c>
    </row>
    <row r="99" spans="1:10" ht="18" customHeight="1" x14ac:dyDescent="0.2">
      <c r="A99" s="43">
        <f t="shared" si="4"/>
        <v>98</v>
      </c>
      <c r="B99" s="68" t="s">
        <v>613</v>
      </c>
      <c r="C99" s="230">
        <v>43701</v>
      </c>
      <c r="D99" s="68" t="s">
        <v>485</v>
      </c>
      <c r="E99" s="114" t="str">
        <f t="shared" si="5"/>
        <v>40 - 44</v>
      </c>
      <c r="F99" s="231">
        <v>1.5347222222222222E-2</v>
      </c>
      <c r="G99" s="232">
        <v>0.71189999999999998</v>
      </c>
      <c r="H99" s="229">
        <f t="shared" si="6"/>
        <v>32.64</v>
      </c>
      <c r="I99" s="125">
        <v>27503</v>
      </c>
      <c r="J99" s="43">
        <f t="shared" si="7"/>
        <v>44</v>
      </c>
    </row>
    <row r="100" spans="1:10" ht="18" customHeight="1" x14ac:dyDescent="0.2">
      <c r="A100" s="43">
        <f t="shared" si="4"/>
        <v>98</v>
      </c>
      <c r="B100" s="68" t="s">
        <v>614</v>
      </c>
      <c r="C100" s="230">
        <v>43466</v>
      </c>
      <c r="D100" s="68" t="s">
        <v>512</v>
      </c>
      <c r="E100" s="114" t="str">
        <f t="shared" si="5"/>
        <v>35 - 39</v>
      </c>
      <c r="F100" s="231">
        <v>1.4583333333333332E-2</v>
      </c>
      <c r="G100" s="232">
        <v>0.71189999999999998</v>
      </c>
      <c r="H100" s="229">
        <f t="shared" si="6"/>
        <v>32.64</v>
      </c>
      <c r="I100" s="125">
        <v>30358</v>
      </c>
      <c r="J100" s="43">
        <f t="shared" si="7"/>
        <v>36</v>
      </c>
    </row>
    <row r="101" spans="1:10" ht="18" customHeight="1" x14ac:dyDescent="0.2">
      <c r="A101" s="43">
        <f t="shared" si="4"/>
        <v>100</v>
      </c>
      <c r="B101" s="68" t="s">
        <v>615</v>
      </c>
      <c r="C101" s="230">
        <v>43477</v>
      </c>
      <c r="D101" s="68" t="s">
        <v>487</v>
      </c>
      <c r="E101" s="114" t="str">
        <f t="shared" si="5"/>
        <v>50 - 54</v>
      </c>
      <c r="F101" s="231">
        <v>1.4594907407407405E-2</v>
      </c>
      <c r="G101" s="232">
        <v>0.70740000000000003</v>
      </c>
      <c r="H101" s="229">
        <f t="shared" si="6"/>
        <v>31.25</v>
      </c>
      <c r="I101" s="125">
        <v>24690</v>
      </c>
      <c r="J101" s="43">
        <f t="shared" si="7"/>
        <v>51</v>
      </c>
    </row>
    <row r="102" spans="1:10" ht="18" customHeight="1" x14ac:dyDescent="0.2">
      <c r="A102" s="43">
        <f t="shared" si="4"/>
        <v>101</v>
      </c>
      <c r="B102" s="68" t="s">
        <v>616</v>
      </c>
      <c r="C102" s="230">
        <v>43624</v>
      </c>
      <c r="D102" s="68" t="s">
        <v>484</v>
      </c>
      <c r="E102" s="114" t="str">
        <f t="shared" si="5"/>
        <v>40 - 44</v>
      </c>
      <c r="F102" s="231">
        <v>1.3819444444444445E-2</v>
      </c>
      <c r="G102" s="232">
        <v>0.70689999999999997</v>
      </c>
      <c r="H102" s="229">
        <f t="shared" si="6"/>
        <v>30.56</v>
      </c>
      <c r="I102" s="125">
        <v>27190</v>
      </c>
      <c r="J102" s="43">
        <f t="shared" si="7"/>
        <v>44</v>
      </c>
    </row>
    <row r="103" spans="1:10" ht="18" customHeight="1" x14ac:dyDescent="0.2">
      <c r="A103" s="43">
        <f t="shared" si="4"/>
        <v>102</v>
      </c>
      <c r="B103" s="68" t="s">
        <v>617</v>
      </c>
      <c r="C103" s="230">
        <v>43680</v>
      </c>
      <c r="D103" s="68" t="s">
        <v>485</v>
      </c>
      <c r="E103" s="114" t="str">
        <f t="shared" si="5"/>
        <v>40 - 44</v>
      </c>
      <c r="F103" s="231">
        <v>1.3726851851851851E-2</v>
      </c>
      <c r="G103" s="232">
        <v>0.70660000000000001</v>
      </c>
      <c r="H103" s="229">
        <f t="shared" si="6"/>
        <v>29.86</v>
      </c>
      <c r="I103" s="125">
        <v>27800</v>
      </c>
      <c r="J103" s="43">
        <f t="shared" si="7"/>
        <v>43</v>
      </c>
    </row>
    <row r="104" spans="1:10" ht="18" customHeight="1" x14ac:dyDescent="0.2">
      <c r="A104" s="43">
        <f t="shared" si="4"/>
        <v>103</v>
      </c>
      <c r="B104" s="68" t="s">
        <v>618</v>
      </c>
      <c r="C104" s="230">
        <v>43701</v>
      </c>
      <c r="D104" s="68" t="s">
        <v>485</v>
      </c>
      <c r="E104" s="114" t="str">
        <f t="shared" si="5"/>
        <v>45 - 49</v>
      </c>
      <c r="F104" s="231">
        <v>1.5925925925925927E-2</v>
      </c>
      <c r="G104" s="232">
        <v>0.70640000000000003</v>
      </c>
      <c r="H104" s="229">
        <f t="shared" si="6"/>
        <v>29.17</v>
      </c>
      <c r="I104" s="125">
        <v>26270</v>
      </c>
      <c r="J104" s="43">
        <f t="shared" si="7"/>
        <v>47</v>
      </c>
    </row>
    <row r="105" spans="1:10" ht="18" customHeight="1" x14ac:dyDescent="0.2">
      <c r="A105" s="43">
        <f t="shared" si="4"/>
        <v>104</v>
      </c>
      <c r="B105" s="68" t="s">
        <v>619</v>
      </c>
      <c r="C105" s="230">
        <v>43512</v>
      </c>
      <c r="D105" s="68" t="s">
        <v>507</v>
      </c>
      <c r="E105" s="114" t="str">
        <f t="shared" si="5"/>
        <v>40 - 44</v>
      </c>
      <c r="F105" s="231">
        <v>1.3541666666666667E-2</v>
      </c>
      <c r="G105" s="232">
        <v>0.70509999999999995</v>
      </c>
      <c r="H105" s="229">
        <f t="shared" si="6"/>
        <v>28.47</v>
      </c>
      <c r="I105" s="125">
        <v>28474</v>
      </c>
      <c r="J105" s="43">
        <f t="shared" si="7"/>
        <v>41</v>
      </c>
    </row>
    <row r="106" spans="1:10" ht="18" customHeight="1" x14ac:dyDescent="0.2">
      <c r="A106" s="43">
        <f t="shared" si="4"/>
        <v>105</v>
      </c>
      <c r="B106" s="68" t="s">
        <v>620</v>
      </c>
      <c r="C106" s="230">
        <v>43596</v>
      </c>
      <c r="D106" s="68" t="s">
        <v>499</v>
      </c>
      <c r="E106" s="114" t="str">
        <f t="shared" si="5"/>
        <v>40 - 44</v>
      </c>
      <c r="F106" s="231">
        <v>1.3645833333333331E-2</v>
      </c>
      <c r="G106" s="232">
        <v>0.70479999999999998</v>
      </c>
      <c r="H106" s="229">
        <f t="shared" si="6"/>
        <v>27.78</v>
      </c>
      <c r="I106" s="125">
        <v>28215</v>
      </c>
      <c r="J106" s="43">
        <f t="shared" si="7"/>
        <v>42</v>
      </c>
    </row>
    <row r="107" spans="1:10" ht="18" customHeight="1" x14ac:dyDescent="0.2">
      <c r="A107" s="43">
        <f t="shared" si="4"/>
        <v>106</v>
      </c>
      <c r="B107" s="68" t="s">
        <v>621</v>
      </c>
      <c r="C107" s="230">
        <v>43519</v>
      </c>
      <c r="D107" s="68" t="s">
        <v>513</v>
      </c>
      <c r="E107" s="114" t="str">
        <f t="shared" si="5"/>
        <v>45 - 49</v>
      </c>
      <c r="F107" s="231">
        <v>1.4097222222222221E-2</v>
      </c>
      <c r="G107" s="232">
        <v>0.7036</v>
      </c>
      <c r="H107" s="229">
        <f t="shared" si="6"/>
        <v>27.08</v>
      </c>
      <c r="I107" s="125">
        <v>26440</v>
      </c>
      <c r="J107" s="43">
        <f t="shared" si="7"/>
        <v>47</v>
      </c>
    </row>
    <row r="108" spans="1:10" ht="18" customHeight="1" x14ac:dyDescent="0.2">
      <c r="A108" s="43">
        <f t="shared" si="4"/>
        <v>107</v>
      </c>
      <c r="B108" s="68" t="s">
        <v>622</v>
      </c>
      <c r="C108" s="230">
        <v>43652</v>
      </c>
      <c r="D108" s="68" t="s">
        <v>487</v>
      </c>
      <c r="E108" s="114" t="str">
        <f t="shared" si="5"/>
        <v>40 - 44</v>
      </c>
      <c r="F108" s="231">
        <v>1.3587962962962963E-2</v>
      </c>
      <c r="G108" s="232">
        <v>0.70269999999999999</v>
      </c>
      <c r="H108" s="229">
        <f t="shared" si="6"/>
        <v>26.39</v>
      </c>
      <c r="I108" s="125">
        <v>28398</v>
      </c>
      <c r="J108" s="43">
        <f t="shared" si="7"/>
        <v>41</v>
      </c>
    </row>
    <row r="109" spans="1:10" ht="18" customHeight="1" x14ac:dyDescent="0.2">
      <c r="A109" s="43">
        <f t="shared" si="4"/>
        <v>108</v>
      </c>
      <c r="B109" s="68" t="s">
        <v>623</v>
      </c>
      <c r="C109" s="230">
        <v>43701</v>
      </c>
      <c r="D109" s="68" t="s">
        <v>492</v>
      </c>
      <c r="E109" s="114" t="str">
        <f t="shared" si="5"/>
        <v>30 - 34</v>
      </c>
      <c r="F109" s="231">
        <v>1.4710648148148148E-2</v>
      </c>
      <c r="G109" s="232">
        <v>0.70179999999999998</v>
      </c>
      <c r="H109" s="229">
        <f t="shared" si="6"/>
        <v>25.69</v>
      </c>
      <c r="I109" s="125">
        <v>31366</v>
      </c>
      <c r="J109" s="43">
        <f t="shared" si="7"/>
        <v>33</v>
      </c>
    </row>
    <row r="110" spans="1:10" ht="18" customHeight="1" x14ac:dyDescent="0.2">
      <c r="A110" s="43">
        <f t="shared" si="4"/>
        <v>109</v>
      </c>
      <c r="B110" s="68" t="s">
        <v>624</v>
      </c>
      <c r="C110" s="230">
        <v>43484</v>
      </c>
      <c r="D110" s="68" t="s">
        <v>507</v>
      </c>
      <c r="E110" s="114" t="str">
        <f t="shared" si="5"/>
        <v>60 - 64</v>
      </c>
      <c r="F110" s="231">
        <v>1.6192129629629629E-2</v>
      </c>
      <c r="G110" s="232">
        <v>0.69979999999999998</v>
      </c>
      <c r="H110" s="229">
        <f t="shared" si="6"/>
        <v>25</v>
      </c>
      <c r="I110" s="125">
        <v>20819</v>
      </c>
      <c r="J110" s="43">
        <f t="shared" si="7"/>
        <v>62</v>
      </c>
    </row>
    <row r="111" spans="1:10" ht="18" customHeight="1" x14ac:dyDescent="0.2">
      <c r="A111" s="43">
        <f t="shared" si="4"/>
        <v>110</v>
      </c>
      <c r="B111" s="68" t="s">
        <v>625</v>
      </c>
      <c r="C111" s="230">
        <v>43743</v>
      </c>
      <c r="D111" s="68" t="s">
        <v>493</v>
      </c>
      <c r="E111" s="114" t="str">
        <f t="shared" si="5"/>
        <v>40 - 44</v>
      </c>
      <c r="F111" s="231">
        <v>1.3773148148148147E-2</v>
      </c>
      <c r="G111" s="232">
        <v>0.69830000000000003</v>
      </c>
      <c r="H111" s="229">
        <f t="shared" si="6"/>
        <v>24.31</v>
      </c>
      <c r="I111" s="125">
        <v>28320</v>
      </c>
      <c r="J111" s="43">
        <f t="shared" si="7"/>
        <v>41</v>
      </c>
    </row>
    <row r="112" spans="1:10" ht="18" customHeight="1" x14ac:dyDescent="0.2">
      <c r="A112" s="43">
        <f t="shared" si="4"/>
        <v>111</v>
      </c>
      <c r="B112" s="68" t="s">
        <v>626</v>
      </c>
      <c r="C112" s="230">
        <v>43624</v>
      </c>
      <c r="D112" s="68" t="s">
        <v>485</v>
      </c>
      <c r="E112" s="114" t="str">
        <f t="shared" si="5"/>
        <v>30 - 34</v>
      </c>
      <c r="F112" s="231">
        <v>1.3055555555555556E-2</v>
      </c>
      <c r="G112" s="232">
        <v>0.69769999999999999</v>
      </c>
      <c r="H112" s="229">
        <f t="shared" si="6"/>
        <v>23.61</v>
      </c>
      <c r="I112" s="125">
        <v>30976</v>
      </c>
      <c r="J112" s="43">
        <f t="shared" si="7"/>
        <v>34</v>
      </c>
    </row>
    <row r="113" spans="1:10" ht="18" customHeight="1" x14ac:dyDescent="0.2">
      <c r="A113" s="43">
        <f t="shared" si="4"/>
        <v>112</v>
      </c>
      <c r="B113" s="68" t="s">
        <v>627</v>
      </c>
      <c r="C113" s="230">
        <v>43722</v>
      </c>
      <c r="D113" s="68" t="s">
        <v>493</v>
      </c>
      <c r="E113" s="114" t="str">
        <f t="shared" si="5"/>
        <v>50 - 54</v>
      </c>
      <c r="F113" s="231">
        <v>1.4826388888888889E-2</v>
      </c>
      <c r="G113" s="232">
        <v>0.69630000000000003</v>
      </c>
      <c r="H113" s="229">
        <f t="shared" si="6"/>
        <v>22.92</v>
      </c>
      <c r="I113" s="125">
        <v>24793</v>
      </c>
      <c r="J113" s="43">
        <f t="shared" si="7"/>
        <v>51</v>
      </c>
    </row>
    <row r="114" spans="1:10" ht="18" customHeight="1" x14ac:dyDescent="0.2">
      <c r="A114" s="43">
        <f t="shared" si="4"/>
        <v>113</v>
      </c>
      <c r="B114" s="68" t="s">
        <v>628</v>
      </c>
      <c r="C114" s="230">
        <v>43638</v>
      </c>
      <c r="D114" s="68" t="s">
        <v>485</v>
      </c>
      <c r="E114" s="114" t="str">
        <f t="shared" si="5"/>
        <v>35 - 39</v>
      </c>
      <c r="F114" s="231">
        <v>1.5000000000000001E-2</v>
      </c>
      <c r="G114" s="232">
        <v>0.69440000000000002</v>
      </c>
      <c r="H114" s="229">
        <f t="shared" si="6"/>
        <v>22.22</v>
      </c>
      <c r="I114" s="125">
        <v>30153</v>
      </c>
      <c r="J114" s="43">
        <f t="shared" si="7"/>
        <v>36</v>
      </c>
    </row>
    <row r="115" spans="1:10" ht="18" customHeight="1" x14ac:dyDescent="0.2">
      <c r="A115" s="43">
        <f t="shared" si="4"/>
        <v>114</v>
      </c>
      <c r="B115" s="68" t="s">
        <v>629</v>
      </c>
      <c r="C115" s="230">
        <v>43701</v>
      </c>
      <c r="D115" s="68" t="s">
        <v>514</v>
      </c>
      <c r="E115" s="114" t="str">
        <f t="shared" si="5"/>
        <v>35 - 39</v>
      </c>
      <c r="F115" s="231">
        <v>1.3472222222222221E-2</v>
      </c>
      <c r="G115" s="232">
        <v>0.69330000000000003</v>
      </c>
      <c r="H115" s="229">
        <f t="shared" si="6"/>
        <v>21.53</v>
      </c>
      <c r="I115" s="125">
        <v>29560</v>
      </c>
      <c r="J115" s="43">
        <f t="shared" si="7"/>
        <v>38</v>
      </c>
    </row>
    <row r="116" spans="1:10" ht="18" customHeight="1" x14ac:dyDescent="0.2">
      <c r="A116" s="43">
        <f t="shared" si="4"/>
        <v>115</v>
      </c>
      <c r="B116" s="68" t="s">
        <v>630</v>
      </c>
      <c r="C116" s="230">
        <v>43680</v>
      </c>
      <c r="D116" s="68" t="s">
        <v>485</v>
      </c>
      <c r="E116" s="114" t="str">
        <f t="shared" si="5"/>
        <v>35 - 39</v>
      </c>
      <c r="F116" s="231">
        <v>1.3425925925925924E-2</v>
      </c>
      <c r="G116" s="232">
        <v>0.68620000000000003</v>
      </c>
      <c r="H116" s="229">
        <f t="shared" si="6"/>
        <v>20.83</v>
      </c>
      <c r="I116" s="125">
        <v>30232</v>
      </c>
      <c r="J116" s="43">
        <f t="shared" si="7"/>
        <v>36</v>
      </c>
    </row>
    <row r="117" spans="1:10" ht="18" customHeight="1" x14ac:dyDescent="0.2">
      <c r="A117" s="43">
        <f t="shared" si="4"/>
        <v>116</v>
      </c>
      <c r="B117" s="68" t="s">
        <v>631</v>
      </c>
      <c r="C117" s="230">
        <v>43652</v>
      </c>
      <c r="D117" s="68" t="s">
        <v>497</v>
      </c>
      <c r="E117" s="114" t="str">
        <f t="shared" si="5"/>
        <v>35 - 39</v>
      </c>
      <c r="F117" s="231">
        <v>1.3530092592592594E-2</v>
      </c>
      <c r="G117" s="232">
        <v>0.68520000000000003</v>
      </c>
      <c r="H117" s="229">
        <f t="shared" si="6"/>
        <v>20.14</v>
      </c>
      <c r="I117" s="125">
        <v>29907</v>
      </c>
      <c r="J117" s="43">
        <f t="shared" si="7"/>
        <v>37</v>
      </c>
    </row>
    <row r="118" spans="1:10" ht="18" customHeight="1" x14ac:dyDescent="0.2">
      <c r="A118" s="43">
        <f t="shared" ref="A118:A139" si="8">RANK(G118,$G$2:$G$145,0)</f>
        <v>117</v>
      </c>
      <c r="B118" s="68" t="s">
        <v>632</v>
      </c>
      <c r="C118" s="230">
        <v>43694</v>
      </c>
      <c r="D118" s="68" t="s">
        <v>487</v>
      </c>
      <c r="E118" s="114" t="str">
        <f t="shared" ref="E118:E139" si="9">VLOOKUP(J118,$N$2:$O$62,2,FALSE)</f>
        <v>40 - 44</v>
      </c>
      <c r="F118" s="231">
        <v>1.554398148148148E-2</v>
      </c>
      <c r="G118" s="232">
        <v>0.6835</v>
      </c>
      <c r="H118" s="229">
        <f t="shared" ref="H118:H139" si="10">ROUND(100-((100/$B$147)*(A118-1)),2)</f>
        <v>19.440000000000001</v>
      </c>
      <c r="I118" s="125">
        <v>28967</v>
      </c>
      <c r="J118" s="43">
        <f t="shared" ref="J118:J139" si="11">DATEDIF(I118,$C$2,"y")</f>
        <v>40</v>
      </c>
    </row>
    <row r="119" spans="1:10" ht="18" customHeight="1" x14ac:dyDescent="0.2">
      <c r="A119" s="43">
        <f t="shared" si="8"/>
        <v>118</v>
      </c>
      <c r="B119" s="68" t="s">
        <v>633</v>
      </c>
      <c r="C119" s="230">
        <v>43533</v>
      </c>
      <c r="D119" s="68" t="s">
        <v>485</v>
      </c>
      <c r="E119" s="114" t="str">
        <f t="shared" si="9"/>
        <v>40 - 44</v>
      </c>
      <c r="F119" s="231">
        <v>1.4409722222222221E-2</v>
      </c>
      <c r="G119" s="232">
        <v>0.67789999999999995</v>
      </c>
      <c r="H119" s="229">
        <f t="shared" si="10"/>
        <v>18.75</v>
      </c>
      <c r="I119" s="125">
        <v>27344</v>
      </c>
      <c r="J119" s="43">
        <f t="shared" si="11"/>
        <v>44</v>
      </c>
    </row>
    <row r="120" spans="1:10" ht="18" customHeight="1" x14ac:dyDescent="0.2">
      <c r="A120" s="43">
        <f t="shared" si="8"/>
        <v>119</v>
      </c>
      <c r="B120" s="68" t="s">
        <v>634</v>
      </c>
      <c r="C120" s="230">
        <v>43673</v>
      </c>
      <c r="D120" s="68" t="s">
        <v>496</v>
      </c>
      <c r="E120" s="114" t="str">
        <f t="shared" si="9"/>
        <v>35 - 39</v>
      </c>
      <c r="F120" s="231">
        <v>1.3703703703703704E-2</v>
      </c>
      <c r="G120" s="232">
        <v>0.67649999999999999</v>
      </c>
      <c r="H120" s="229">
        <f t="shared" si="10"/>
        <v>18.059999999999999</v>
      </c>
      <c r="I120" s="125">
        <v>30146</v>
      </c>
      <c r="J120" s="43">
        <f t="shared" si="11"/>
        <v>36</v>
      </c>
    </row>
    <row r="121" spans="1:10" ht="18" customHeight="1" x14ac:dyDescent="0.2">
      <c r="A121" s="43">
        <f t="shared" si="8"/>
        <v>120</v>
      </c>
      <c r="B121" s="68" t="s">
        <v>635</v>
      </c>
      <c r="C121" s="230">
        <v>43498</v>
      </c>
      <c r="D121" s="68" t="s">
        <v>492</v>
      </c>
      <c r="E121" s="114" t="str">
        <f t="shared" si="9"/>
        <v>30 - 34</v>
      </c>
      <c r="F121" s="231">
        <v>1.5266203703703705E-2</v>
      </c>
      <c r="G121" s="232">
        <v>0.67630000000000001</v>
      </c>
      <c r="H121" s="229">
        <f t="shared" si="10"/>
        <v>17.36</v>
      </c>
      <c r="I121" s="125">
        <v>31230</v>
      </c>
      <c r="J121" s="43">
        <f t="shared" si="11"/>
        <v>33</v>
      </c>
    </row>
    <row r="122" spans="1:10" ht="18" customHeight="1" x14ac:dyDescent="0.2">
      <c r="A122" s="43">
        <f t="shared" si="8"/>
        <v>121</v>
      </c>
      <c r="B122" s="68" t="s">
        <v>636</v>
      </c>
      <c r="C122" s="230">
        <v>43603</v>
      </c>
      <c r="D122" s="68" t="s">
        <v>499</v>
      </c>
      <c r="E122" s="114" t="str">
        <f t="shared" si="9"/>
        <v>40 - 44</v>
      </c>
      <c r="F122" s="231">
        <v>1.4363425925925925E-2</v>
      </c>
      <c r="G122" s="232">
        <v>0.67530000000000001</v>
      </c>
      <c r="H122" s="229">
        <f t="shared" si="10"/>
        <v>16.670000000000002</v>
      </c>
      <c r="I122" s="125">
        <v>27743</v>
      </c>
      <c r="J122" s="43">
        <f t="shared" si="11"/>
        <v>43</v>
      </c>
    </row>
    <row r="123" spans="1:10" ht="18" customHeight="1" x14ac:dyDescent="0.2">
      <c r="A123" s="43">
        <f t="shared" si="8"/>
        <v>122</v>
      </c>
      <c r="B123" s="68" t="s">
        <v>637</v>
      </c>
      <c r="C123" s="230">
        <v>43466</v>
      </c>
      <c r="D123" s="68" t="s">
        <v>490</v>
      </c>
      <c r="E123" s="114" t="str">
        <f t="shared" si="9"/>
        <v>45 - 49</v>
      </c>
      <c r="F123" s="231">
        <v>1.4814814814814814E-2</v>
      </c>
      <c r="G123" s="232">
        <v>0.67500000000000004</v>
      </c>
      <c r="H123" s="229">
        <f t="shared" si="10"/>
        <v>15.97</v>
      </c>
      <c r="I123" s="125">
        <v>26009</v>
      </c>
      <c r="J123" s="43">
        <f t="shared" si="11"/>
        <v>48</v>
      </c>
    </row>
    <row r="124" spans="1:10" ht="18" customHeight="1" x14ac:dyDescent="0.2">
      <c r="A124" s="43">
        <f t="shared" si="8"/>
        <v>123</v>
      </c>
      <c r="B124" s="68" t="s">
        <v>638</v>
      </c>
      <c r="C124" s="230">
        <v>43466</v>
      </c>
      <c r="D124" s="68" t="s">
        <v>499</v>
      </c>
      <c r="E124" s="114" t="str">
        <f t="shared" si="9"/>
        <v>50 - 54</v>
      </c>
      <c r="F124" s="231">
        <v>1.5370370370370369E-2</v>
      </c>
      <c r="G124" s="232">
        <v>0.67169999999999996</v>
      </c>
      <c r="H124" s="229">
        <f t="shared" si="10"/>
        <v>15.28</v>
      </c>
      <c r="I124" s="125">
        <v>24540</v>
      </c>
      <c r="J124" s="43">
        <f t="shared" si="11"/>
        <v>52</v>
      </c>
    </row>
    <row r="125" spans="1:10" ht="18" customHeight="1" x14ac:dyDescent="0.2">
      <c r="A125" s="43">
        <f t="shared" si="8"/>
        <v>124</v>
      </c>
      <c r="B125" s="68" t="s">
        <v>639</v>
      </c>
      <c r="C125" s="230">
        <v>43477</v>
      </c>
      <c r="D125" s="68" t="s">
        <v>515</v>
      </c>
      <c r="E125" s="114" t="str">
        <f t="shared" si="9"/>
        <v>55 - 59</v>
      </c>
      <c r="F125" s="231">
        <v>1.6342592592592593E-2</v>
      </c>
      <c r="G125" s="232">
        <v>0.67</v>
      </c>
      <c r="H125" s="229">
        <f t="shared" si="10"/>
        <v>14.58</v>
      </c>
      <c r="I125" s="125">
        <v>22057</v>
      </c>
      <c r="J125" s="43">
        <f t="shared" si="11"/>
        <v>59</v>
      </c>
    </row>
    <row r="126" spans="1:10" ht="18" customHeight="1" x14ac:dyDescent="0.2">
      <c r="A126" s="43">
        <f t="shared" si="8"/>
        <v>125</v>
      </c>
      <c r="B126" s="68" t="s">
        <v>640</v>
      </c>
      <c r="C126" s="230">
        <v>43701</v>
      </c>
      <c r="D126" s="68" t="s">
        <v>507</v>
      </c>
      <c r="E126" s="114" t="str">
        <f t="shared" si="9"/>
        <v>45 - 49</v>
      </c>
      <c r="F126" s="231">
        <v>1.494212962962963E-2</v>
      </c>
      <c r="G126" s="232">
        <v>0.66920000000000002</v>
      </c>
      <c r="H126" s="229">
        <f t="shared" si="10"/>
        <v>13.89</v>
      </c>
      <c r="I126" s="125">
        <v>26193</v>
      </c>
      <c r="J126" s="43">
        <f t="shared" si="11"/>
        <v>47</v>
      </c>
    </row>
    <row r="127" spans="1:10" ht="18" customHeight="1" x14ac:dyDescent="0.2">
      <c r="A127" s="43">
        <f t="shared" si="8"/>
        <v>126</v>
      </c>
      <c r="B127" s="68" t="s">
        <v>641</v>
      </c>
      <c r="C127" s="230">
        <v>43652</v>
      </c>
      <c r="D127" s="68" t="s">
        <v>487</v>
      </c>
      <c r="E127" s="114" t="str">
        <f t="shared" si="9"/>
        <v>30 - 34</v>
      </c>
      <c r="F127" s="231">
        <v>1.3483796296296298E-2</v>
      </c>
      <c r="G127" s="232">
        <v>0.66610000000000003</v>
      </c>
      <c r="H127" s="229">
        <f t="shared" si="10"/>
        <v>13.19</v>
      </c>
      <c r="I127" s="125">
        <v>32367</v>
      </c>
      <c r="J127" s="43">
        <f t="shared" si="11"/>
        <v>30</v>
      </c>
    </row>
    <row r="128" spans="1:10" ht="18" customHeight="1" x14ac:dyDescent="0.2">
      <c r="A128" s="43">
        <f t="shared" si="8"/>
        <v>127</v>
      </c>
      <c r="B128" s="68" t="s">
        <v>642</v>
      </c>
      <c r="C128" s="230">
        <v>43701</v>
      </c>
      <c r="D128" s="68" t="s">
        <v>485</v>
      </c>
      <c r="E128" s="114" t="str">
        <f t="shared" si="9"/>
        <v>55 - 59</v>
      </c>
      <c r="F128" s="231">
        <v>1.6527777777777777E-2</v>
      </c>
      <c r="G128" s="232">
        <v>0.65690000000000004</v>
      </c>
      <c r="H128" s="229">
        <f t="shared" si="10"/>
        <v>12.5</v>
      </c>
      <c r="I128" s="125">
        <v>22747</v>
      </c>
      <c r="J128" s="43">
        <f t="shared" si="11"/>
        <v>57</v>
      </c>
    </row>
    <row r="129" spans="1:10" ht="18" customHeight="1" x14ac:dyDescent="0.2">
      <c r="A129" s="43">
        <f t="shared" si="8"/>
        <v>128</v>
      </c>
      <c r="B129" s="68" t="s">
        <v>643</v>
      </c>
      <c r="C129" s="230">
        <v>43638</v>
      </c>
      <c r="D129" s="68" t="s">
        <v>493</v>
      </c>
      <c r="E129" s="114" t="str">
        <f t="shared" si="9"/>
        <v>40 - 44</v>
      </c>
      <c r="F129" s="231">
        <v>1.4432870370370372E-2</v>
      </c>
      <c r="G129" s="232">
        <v>0.65680000000000005</v>
      </c>
      <c r="H129" s="229">
        <f t="shared" si="10"/>
        <v>11.81</v>
      </c>
      <c r="I129" s="125">
        <v>28958</v>
      </c>
      <c r="J129" s="43">
        <f t="shared" si="11"/>
        <v>40</v>
      </c>
    </row>
    <row r="130" spans="1:10" ht="18" customHeight="1" x14ac:dyDescent="0.2">
      <c r="A130" s="43">
        <f t="shared" si="8"/>
        <v>129</v>
      </c>
      <c r="B130" s="68" t="s">
        <v>644</v>
      </c>
      <c r="C130" s="230">
        <v>43694</v>
      </c>
      <c r="D130" s="68" t="s">
        <v>516</v>
      </c>
      <c r="E130" s="114" t="str">
        <f t="shared" si="9"/>
        <v>35 - 39</v>
      </c>
      <c r="F130" s="231">
        <v>1.4178240740740741E-2</v>
      </c>
      <c r="G130" s="232">
        <v>0.64980000000000004</v>
      </c>
      <c r="H130" s="229">
        <f t="shared" si="10"/>
        <v>11.11</v>
      </c>
      <c r="I130" s="125">
        <v>30503</v>
      </c>
      <c r="J130" s="43">
        <f t="shared" si="11"/>
        <v>35</v>
      </c>
    </row>
    <row r="131" spans="1:10" ht="18" customHeight="1" x14ac:dyDescent="0.2">
      <c r="A131" s="43">
        <f t="shared" si="8"/>
        <v>130</v>
      </c>
      <c r="B131" s="68" t="s">
        <v>645</v>
      </c>
      <c r="C131" s="230">
        <v>43659</v>
      </c>
      <c r="D131" s="68" t="s">
        <v>498</v>
      </c>
      <c r="E131" s="114" t="str">
        <f t="shared" si="9"/>
        <v>35 - 39</v>
      </c>
      <c r="F131" s="231">
        <v>1.4548611111111111E-2</v>
      </c>
      <c r="G131" s="232">
        <v>0.64680000000000004</v>
      </c>
      <c r="H131" s="229">
        <f t="shared" si="10"/>
        <v>10.42</v>
      </c>
      <c r="I131" s="125">
        <v>29170</v>
      </c>
      <c r="J131" s="43">
        <f t="shared" si="11"/>
        <v>39</v>
      </c>
    </row>
    <row r="132" spans="1:10" ht="18" customHeight="1" x14ac:dyDescent="0.2">
      <c r="A132" s="43">
        <f t="shared" si="8"/>
        <v>131</v>
      </c>
      <c r="B132" s="68" t="s">
        <v>482</v>
      </c>
      <c r="C132" s="230">
        <v>43624</v>
      </c>
      <c r="D132" s="68" t="s">
        <v>487</v>
      </c>
      <c r="E132" s="114" t="str">
        <f t="shared" si="9"/>
        <v>40 - 44</v>
      </c>
      <c r="F132" s="231">
        <v>1.5023148148148148E-2</v>
      </c>
      <c r="G132" s="232">
        <v>0.64019999999999999</v>
      </c>
      <c r="H132" s="229">
        <f t="shared" si="10"/>
        <v>9.7200000000000006</v>
      </c>
      <c r="I132" s="125">
        <v>28075</v>
      </c>
      <c r="J132" s="43">
        <f t="shared" si="11"/>
        <v>42</v>
      </c>
    </row>
    <row r="133" spans="1:10" ht="18" customHeight="1" x14ac:dyDescent="0.2">
      <c r="A133" s="43">
        <f t="shared" si="8"/>
        <v>132</v>
      </c>
      <c r="B133" s="68" t="s">
        <v>646</v>
      </c>
      <c r="C133" s="230">
        <v>43652</v>
      </c>
      <c r="D133" s="68" t="s">
        <v>487</v>
      </c>
      <c r="E133" s="114" t="str">
        <f t="shared" si="9"/>
        <v>40 - 44</v>
      </c>
      <c r="F133" s="231">
        <v>1.494212962962963E-2</v>
      </c>
      <c r="G133" s="232">
        <v>0.63900000000000001</v>
      </c>
      <c r="H133" s="229">
        <f t="shared" si="10"/>
        <v>9.0299999999999994</v>
      </c>
      <c r="I133" s="125">
        <v>28530</v>
      </c>
      <c r="J133" s="43">
        <f t="shared" si="11"/>
        <v>41</v>
      </c>
    </row>
    <row r="134" spans="1:10" ht="18" customHeight="1" x14ac:dyDescent="0.2">
      <c r="A134" s="43">
        <f t="shared" si="8"/>
        <v>133</v>
      </c>
      <c r="B134" s="68" t="s">
        <v>647</v>
      </c>
      <c r="C134" s="230">
        <v>43624</v>
      </c>
      <c r="D134" s="68" t="s">
        <v>487</v>
      </c>
      <c r="E134" s="114" t="str">
        <f t="shared" si="9"/>
        <v>35 - 39</v>
      </c>
      <c r="F134" s="231">
        <v>1.6296296296296295E-2</v>
      </c>
      <c r="G134" s="232">
        <v>0.6371</v>
      </c>
      <c r="H134" s="229">
        <f t="shared" si="10"/>
        <v>8.33</v>
      </c>
      <c r="I134" s="125">
        <v>30824</v>
      </c>
      <c r="J134" s="43">
        <f t="shared" si="11"/>
        <v>35</v>
      </c>
    </row>
    <row r="135" spans="1:10" ht="18" customHeight="1" x14ac:dyDescent="0.2">
      <c r="A135" s="43">
        <f t="shared" si="8"/>
        <v>134</v>
      </c>
      <c r="B135" s="68" t="s">
        <v>648</v>
      </c>
      <c r="C135" s="230">
        <v>43610</v>
      </c>
      <c r="D135" s="68" t="s">
        <v>515</v>
      </c>
      <c r="E135" s="114" t="str">
        <f t="shared" si="9"/>
        <v>35 - 39</v>
      </c>
      <c r="F135" s="231">
        <v>1.4641203703703703E-2</v>
      </c>
      <c r="G135" s="232">
        <v>0.62529999999999997</v>
      </c>
      <c r="H135" s="229">
        <f t="shared" si="10"/>
        <v>7.64</v>
      </c>
      <c r="I135" s="125">
        <v>30551</v>
      </c>
      <c r="J135" s="43">
        <f t="shared" si="11"/>
        <v>35</v>
      </c>
    </row>
    <row r="136" spans="1:10" ht="18" customHeight="1" x14ac:dyDescent="0.2">
      <c r="A136" s="43">
        <f t="shared" si="8"/>
        <v>135</v>
      </c>
      <c r="B136" s="68" t="s">
        <v>660</v>
      </c>
      <c r="C136" s="230">
        <v>43561</v>
      </c>
      <c r="D136" s="68" t="s">
        <v>493</v>
      </c>
      <c r="E136" s="114" t="str">
        <f t="shared" si="9"/>
        <v>45 - 49</v>
      </c>
      <c r="F136" s="231">
        <v>1.5902777777777776E-2</v>
      </c>
      <c r="G136" s="232">
        <v>0.62370000000000003</v>
      </c>
      <c r="H136" s="229">
        <f t="shared" si="10"/>
        <v>6.94</v>
      </c>
      <c r="I136" s="125">
        <v>26458</v>
      </c>
      <c r="J136" s="43">
        <f t="shared" si="11"/>
        <v>46</v>
      </c>
    </row>
    <row r="137" spans="1:10" ht="18" customHeight="1" x14ac:dyDescent="0.2">
      <c r="A137" s="43">
        <f t="shared" si="8"/>
        <v>136</v>
      </c>
      <c r="B137" s="68" t="s">
        <v>649</v>
      </c>
      <c r="C137" s="230">
        <v>43631</v>
      </c>
      <c r="D137" s="68" t="s">
        <v>487</v>
      </c>
      <c r="E137" s="114" t="str">
        <f t="shared" si="9"/>
        <v>40 - 44</v>
      </c>
      <c r="F137" s="231">
        <v>1.7280092592592593E-2</v>
      </c>
      <c r="G137" s="232">
        <v>0.62290000000000001</v>
      </c>
      <c r="H137" s="229">
        <f t="shared" si="10"/>
        <v>6.25</v>
      </c>
      <c r="I137" s="125">
        <v>28156</v>
      </c>
      <c r="J137" s="43">
        <f t="shared" si="11"/>
        <v>42</v>
      </c>
    </row>
    <row r="138" spans="1:10" ht="18" customHeight="1" x14ac:dyDescent="0.2">
      <c r="A138" s="43">
        <f t="shared" si="8"/>
        <v>137</v>
      </c>
      <c r="B138" s="68" t="s">
        <v>659</v>
      </c>
      <c r="C138" s="230">
        <v>43519</v>
      </c>
      <c r="D138" s="68" t="s">
        <v>487</v>
      </c>
      <c r="E138" s="114" t="str">
        <f t="shared" si="9"/>
        <v>30 - 34</v>
      </c>
      <c r="F138" s="231">
        <v>1.4722222222222222E-2</v>
      </c>
      <c r="G138" s="232">
        <v>0.61560000000000004</v>
      </c>
      <c r="H138" s="229">
        <f t="shared" si="10"/>
        <v>5.56</v>
      </c>
      <c r="I138" s="125">
        <v>31180</v>
      </c>
      <c r="J138" s="43">
        <f t="shared" si="11"/>
        <v>34</v>
      </c>
    </row>
    <row r="139" spans="1:10" ht="18" customHeight="1" x14ac:dyDescent="0.2">
      <c r="A139" s="43">
        <f t="shared" si="8"/>
        <v>138</v>
      </c>
      <c r="B139" s="68" t="s">
        <v>650</v>
      </c>
      <c r="C139" s="230">
        <v>43547</v>
      </c>
      <c r="D139" s="68" t="s">
        <v>497</v>
      </c>
      <c r="E139" s="114" t="str">
        <f t="shared" si="9"/>
        <v>55 - 59</v>
      </c>
      <c r="F139" s="231">
        <v>1.7951388888888888E-2</v>
      </c>
      <c r="G139" s="232">
        <v>0.6048</v>
      </c>
      <c r="H139" s="229">
        <f t="shared" si="10"/>
        <v>4.8600000000000003</v>
      </c>
      <c r="I139" s="125">
        <v>22423</v>
      </c>
      <c r="J139" s="43">
        <f t="shared" si="11"/>
        <v>58</v>
      </c>
    </row>
    <row r="140" spans="1:10" ht="18" customHeight="1" x14ac:dyDescent="0.2">
      <c r="A140" s="43">
        <f t="shared" si="4"/>
        <v>139</v>
      </c>
      <c r="B140" s="68" t="s">
        <v>651</v>
      </c>
      <c r="C140" s="230">
        <v>43687</v>
      </c>
      <c r="D140" s="68" t="s">
        <v>504</v>
      </c>
      <c r="E140" s="114" t="str">
        <f t="shared" si="5"/>
        <v>35 - 39</v>
      </c>
      <c r="F140" s="231">
        <v>1.5532407407407406E-2</v>
      </c>
      <c r="G140" s="232">
        <v>0.60129999999999995</v>
      </c>
      <c r="H140" s="229">
        <f t="shared" si="6"/>
        <v>4.17</v>
      </c>
      <c r="I140" s="125">
        <v>29767</v>
      </c>
      <c r="J140" s="43">
        <f t="shared" si="7"/>
        <v>37</v>
      </c>
    </row>
    <row r="141" spans="1:10" ht="18" customHeight="1" x14ac:dyDescent="0.2">
      <c r="A141" s="43">
        <f t="shared" si="4"/>
        <v>140</v>
      </c>
      <c r="B141" s="68" t="s">
        <v>652</v>
      </c>
      <c r="C141" s="230">
        <v>43477</v>
      </c>
      <c r="D141" s="68" t="s">
        <v>517</v>
      </c>
      <c r="E141" s="114" t="str">
        <f t="shared" si="5"/>
        <v>45 - 49</v>
      </c>
      <c r="F141" s="231">
        <v>1.6458333333333332E-2</v>
      </c>
      <c r="G141" s="232">
        <v>0.59850000000000003</v>
      </c>
      <c r="H141" s="229">
        <f t="shared" si="6"/>
        <v>3.47</v>
      </c>
      <c r="I141" s="125">
        <v>26955</v>
      </c>
      <c r="J141" s="43">
        <f t="shared" si="7"/>
        <v>45</v>
      </c>
    </row>
    <row r="142" spans="1:10" ht="18" customHeight="1" x14ac:dyDescent="0.2">
      <c r="A142" s="43">
        <f t="shared" si="4"/>
        <v>141</v>
      </c>
      <c r="B142" s="68" t="s">
        <v>653</v>
      </c>
      <c r="C142" s="230">
        <v>43736</v>
      </c>
      <c r="D142" s="68" t="s">
        <v>518</v>
      </c>
      <c r="E142" s="114" t="str">
        <f t="shared" si="5"/>
        <v>35 - 39</v>
      </c>
      <c r="F142" s="231">
        <v>1.4502314814814815E-2</v>
      </c>
      <c r="G142" s="232">
        <v>0.58250000000000002</v>
      </c>
      <c r="H142" s="229">
        <f t="shared" si="6"/>
        <v>2.78</v>
      </c>
      <c r="I142" s="125">
        <v>30203</v>
      </c>
      <c r="J142" s="43">
        <f t="shared" si="7"/>
        <v>36</v>
      </c>
    </row>
    <row r="143" spans="1:10" ht="18" customHeight="1" x14ac:dyDescent="0.2">
      <c r="A143" s="43">
        <f t="shared" si="4"/>
        <v>142</v>
      </c>
      <c r="B143" s="68" t="s">
        <v>654</v>
      </c>
      <c r="C143" s="230">
        <v>43498</v>
      </c>
      <c r="D143" s="68" t="s">
        <v>484</v>
      </c>
      <c r="E143" s="114" t="str">
        <f t="shared" si="5"/>
        <v>25 - 29</v>
      </c>
      <c r="F143" s="231">
        <v>1.6307870370370372E-2</v>
      </c>
      <c r="G143" s="232">
        <v>0.54930000000000001</v>
      </c>
      <c r="H143" s="229">
        <f t="shared" si="6"/>
        <v>2.08</v>
      </c>
      <c r="I143" s="125">
        <v>34343</v>
      </c>
      <c r="J143" s="43">
        <f t="shared" si="7"/>
        <v>25</v>
      </c>
    </row>
    <row r="144" spans="1:10" ht="18" customHeight="1" x14ac:dyDescent="0.2">
      <c r="A144" s="43">
        <f t="shared" si="4"/>
        <v>143</v>
      </c>
      <c r="B144" s="68" t="s">
        <v>655</v>
      </c>
      <c r="C144" s="230">
        <v>43470</v>
      </c>
      <c r="D144" s="68" t="s">
        <v>519</v>
      </c>
      <c r="E144" s="114" t="str">
        <f t="shared" si="5"/>
        <v>40 - 44</v>
      </c>
      <c r="F144" s="231">
        <v>1.7476851851851851E-2</v>
      </c>
      <c r="G144" s="232">
        <v>0.53839999999999999</v>
      </c>
      <c r="H144" s="229">
        <f t="shared" si="6"/>
        <v>1.39</v>
      </c>
      <c r="I144" s="125">
        <v>28903</v>
      </c>
      <c r="J144" s="43">
        <f t="shared" si="7"/>
        <v>40</v>
      </c>
    </row>
    <row r="145" spans="1:10" ht="18" customHeight="1" x14ac:dyDescent="0.2">
      <c r="A145" s="43">
        <f t="shared" si="4"/>
        <v>144</v>
      </c>
      <c r="B145" s="68" t="s">
        <v>656</v>
      </c>
      <c r="C145" s="230">
        <v>43652</v>
      </c>
      <c r="D145" s="68" t="s">
        <v>515</v>
      </c>
      <c r="E145" s="114" t="str">
        <f t="shared" si="5"/>
        <v>35 - 39</v>
      </c>
      <c r="F145" s="231">
        <v>3.3125000000000002E-2</v>
      </c>
      <c r="G145" s="232">
        <v>0.28410000000000002</v>
      </c>
      <c r="H145" s="229">
        <f t="shared" si="6"/>
        <v>0.69</v>
      </c>
      <c r="I145" s="125">
        <v>29063</v>
      </c>
      <c r="J145" s="43">
        <f t="shared" si="7"/>
        <v>39</v>
      </c>
    </row>
    <row r="146" spans="1:10" ht="18" customHeight="1" x14ac:dyDescent="0.2">
      <c r="A146" s="65"/>
      <c r="B146" s="65"/>
      <c r="C146" s="65"/>
      <c r="D146" s="65"/>
      <c r="E146" s="65"/>
      <c r="F146" s="65"/>
      <c r="G146" s="65"/>
      <c r="H146" s="65"/>
    </row>
    <row r="147" spans="1:10" ht="18" customHeight="1" x14ac:dyDescent="0.2">
      <c r="A147" s="43" t="s">
        <v>25</v>
      </c>
      <c r="B147" s="60">
        <v>144</v>
      </c>
      <c r="C147" s="65"/>
      <c r="D147" s="65"/>
      <c r="E147" s="65"/>
      <c r="G147" s="65" t="s">
        <v>28</v>
      </c>
      <c r="H147" s="115">
        <f>SUM(H2:H145)</f>
        <v>7255.5900000000011</v>
      </c>
    </row>
    <row r="149" spans="1:10" x14ac:dyDescent="0.2">
      <c r="A149" s="13" t="s">
        <v>675</v>
      </c>
    </row>
    <row r="151" spans="1:10" x14ac:dyDescent="0.2">
      <c r="A151" s="13" t="s">
        <v>676</v>
      </c>
    </row>
  </sheetData>
  <sheetProtection algorithmName="SHA-512" hashValue="BQ/e44yJxn/3NX1KlRK66h4Fje3jo7QwP3ng1uCU56JYG+8IX64KosAlSk5ytoJR1Wftho3CR68njMp+VfILPg==" saltValue="6zcSXrmkLxeeF0apzLm+uA==" spinCount="100000" sheet="1"/>
  <sortState xmlns:xlrd2="http://schemas.microsoft.com/office/spreadsheetml/2017/richdata2" ref="B2:G145">
    <sortCondition descending="1" ref="G2:G1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47"/>
  <sheetViews>
    <sheetView zoomScale="85" zoomScaleNormal="85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26.7109375" style="2" customWidth="1"/>
    <col min="2" max="2" width="8.42578125" style="2" bestFit="1" customWidth="1"/>
    <col min="3" max="3" width="8" style="2" bestFit="1" customWidth="1"/>
    <col min="4" max="4" width="10.28515625" style="2" hidden="1" customWidth="1"/>
    <col min="5" max="5" width="7.7109375" style="7" customWidth="1"/>
    <col min="6" max="15" width="9.85546875" style="7" customWidth="1"/>
    <col min="16" max="19" width="9.140625" style="6" customWidth="1"/>
    <col min="20" max="20" width="10.28515625" style="6" customWidth="1"/>
    <col min="21" max="21" width="11.28515625" style="2" customWidth="1"/>
    <col min="22" max="22" width="9.140625" style="2"/>
    <col min="23" max="23" width="10.28515625" style="2" hidden="1" customWidth="1"/>
    <col min="24" max="24" width="3.42578125" style="2" customWidth="1"/>
    <col min="25" max="26" width="7.42578125" style="2" customWidth="1"/>
    <col min="27" max="27" width="12.5703125" style="2" bestFit="1" customWidth="1"/>
    <col min="28" max="28" width="12.5703125" style="2" customWidth="1"/>
    <col min="29" max="29" width="1.7109375" style="2" customWidth="1"/>
    <col min="30" max="31" width="7.42578125" style="2" customWidth="1"/>
    <col min="32" max="32" width="12.5703125" style="2" bestFit="1" customWidth="1"/>
    <col min="33" max="33" width="12.5703125" style="2" customWidth="1"/>
    <col min="34" max="16384" width="9.140625" style="2"/>
  </cols>
  <sheetData>
    <row r="1" spans="1:33" s="1" customFormat="1" ht="18" x14ac:dyDescent="0.25">
      <c r="A1" s="9" t="s">
        <v>316</v>
      </c>
      <c r="B1" s="9"/>
      <c r="C1" s="9"/>
      <c r="D1" s="9"/>
      <c r="E1" s="8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33" s="3" customFormat="1" x14ac:dyDescent="0.2">
      <c r="A2" s="35" t="s">
        <v>0</v>
      </c>
      <c r="B2" s="78"/>
      <c r="C2" s="78"/>
      <c r="D2" s="78"/>
      <c r="E2" s="78"/>
      <c r="F2" s="31">
        <v>1</v>
      </c>
      <c r="G2" s="85">
        <v>2</v>
      </c>
      <c r="H2" s="32">
        <v>3</v>
      </c>
      <c r="I2" s="32">
        <v>4</v>
      </c>
      <c r="J2" s="54">
        <v>5</v>
      </c>
      <c r="K2" s="32">
        <v>6</v>
      </c>
      <c r="L2" s="32">
        <v>7</v>
      </c>
      <c r="M2" s="32">
        <v>8</v>
      </c>
      <c r="N2" s="54">
        <v>9</v>
      </c>
      <c r="O2" s="117">
        <v>10</v>
      </c>
      <c r="P2" s="15"/>
      <c r="Q2" s="16"/>
      <c r="R2" s="17"/>
      <c r="S2" s="17"/>
      <c r="T2" s="17"/>
      <c r="U2" s="18"/>
    </row>
    <row r="3" spans="1:33" s="4" customFormat="1" ht="62.25" customHeight="1" x14ac:dyDescent="0.2">
      <c r="A3" s="36"/>
      <c r="B3" s="79"/>
      <c r="C3" s="79"/>
      <c r="D3" s="79"/>
      <c r="E3" s="79" t="s">
        <v>1</v>
      </c>
      <c r="F3" s="19" t="s">
        <v>31</v>
      </c>
      <c r="G3" s="86" t="s">
        <v>192</v>
      </c>
      <c r="H3" s="20" t="s">
        <v>20</v>
      </c>
      <c r="I3" s="20" t="s">
        <v>21</v>
      </c>
      <c r="J3" s="20" t="s">
        <v>23</v>
      </c>
      <c r="K3" s="20" t="s">
        <v>22</v>
      </c>
      <c r="L3" s="20" t="s">
        <v>24</v>
      </c>
      <c r="M3" s="20" t="s">
        <v>114</v>
      </c>
      <c r="N3" s="20" t="s">
        <v>30</v>
      </c>
      <c r="O3" s="86" t="s">
        <v>180</v>
      </c>
      <c r="P3" s="19" t="s">
        <v>12</v>
      </c>
      <c r="Q3" s="20" t="s">
        <v>13</v>
      </c>
      <c r="R3" s="20" t="s">
        <v>108</v>
      </c>
      <c r="S3" s="20" t="s">
        <v>109</v>
      </c>
      <c r="T3" s="20" t="s">
        <v>11</v>
      </c>
      <c r="U3" s="21" t="s">
        <v>110</v>
      </c>
      <c r="W3" s="20" t="s">
        <v>177</v>
      </c>
      <c r="X3" s="129"/>
      <c r="Y3" s="233" t="s">
        <v>242</v>
      </c>
      <c r="Z3" s="233"/>
      <c r="AA3" s="233"/>
      <c r="AB3" s="233"/>
      <c r="AD3" s="233" t="s">
        <v>300</v>
      </c>
      <c r="AE3" s="233"/>
      <c r="AF3" s="233"/>
      <c r="AG3" s="233"/>
    </row>
    <row r="4" spans="1:33" s="5" customFormat="1" ht="27.75" customHeight="1" x14ac:dyDescent="0.2">
      <c r="A4" s="37" t="s">
        <v>7</v>
      </c>
      <c r="B4" s="143" t="s">
        <v>274</v>
      </c>
      <c r="C4" s="143" t="s">
        <v>231</v>
      </c>
      <c r="D4" s="143" t="s">
        <v>232</v>
      </c>
      <c r="E4" s="135" t="s">
        <v>29</v>
      </c>
      <c r="F4" s="90">
        <v>43508</v>
      </c>
      <c r="G4" s="87">
        <v>43527</v>
      </c>
      <c r="H4" s="75">
        <v>43550</v>
      </c>
      <c r="I4" s="75">
        <v>43585</v>
      </c>
      <c r="J4" s="75">
        <v>43599</v>
      </c>
      <c r="K4" s="75">
        <v>43641</v>
      </c>
      <c r="L4" s="75">
        <v>43660</v>
      </c>
      <c r="M4" s="75">
        <v>43704</v>
      </c>
      <c r="N4" s="75">
        <v>43725</v>
      </c>
      <c r="O4" s="120" t="s">
        <v>193</v>
      </c>
      <c r="P4" s="22"/>
      <c r="Q4" s="23"/>
      <c r="R4" s="23"/>
      <c r="S4" s="23"/>
      <c r="T4" s="23"/>
      <c r="U4" s="24"/>
      <c r="W4" s="53"/>
      <c r="Y4" s="129" t="s">
        <v>187</v>
      </c>
      <c r="Z4" s="129" t="s">
        <v>188</v>
      </c>
      <c r="AA4" s="130" t="s">
        <v>190</v>
      </c>
      <c r="AB4" s="130" t="s">
        <v>189</v>
      </c>
      <c r="AD4" s="180" t="s">
        <v>187</v>
      </c>
      <c r="AE4" s="180" t="s">
        <v>188</v>
      </c>
      <c r="AF4" s="130" t="s">
        <v>190</v>
      </c>
      <c r="AG4" s="130" t="s">
        <v>189</v>
      </c>
    </row>
    <row r="5" spans="1:33" x14ac:dyDescent="0.2">
      <c r="A5" s="38" t="s">
        <v>48</v>
      </c>
      <c r="B5" s="81">
        <v>62</v>
      </c>
      <c r="C5" s="81" t="s">
        <v>233</v>
      </c>
      <c r="D5" s="146">
        <v>27080</v>
      </c>
      <c r="E5" s="81" t="s">
        <v>214</v>
      </c>
      <c r="F5" s="147">
        <f>IF(ISNA(VLOOKUP($A5,'2 Bridges Relay'!$F$2:$F$67,1,FALSE)),0,VLOOKUP($A5,'2 Bridges Relay'!$F$2:$J$67,5,FALSE))</f>
        <v>100</v>
      </c>
      <c r="G5" s="88">
        <f>IF(ISNA(VLOOKUP($A5,'5M''s'!$D$2:$E$27,1,FALSE)),0,VLOOKUP($A5,'5M''s'!$D$2:$E$27,2,FALSE))</f>
        <v>90</v>
      </c>
      <c r="H5" s="62">
        <f>IF(ISNA(VLOOKUP($A5,'Mile handicap'!$C$2:$C$51,1,FALSE)),0,VLOOKUP($A5,'Mile handicap'!$C$2:$K$51,9,FALSE))</f>
        <v>92.68</v>
      </c>
      <c r="I5" s="62">
        <f>IF(ISNA(VLOOKUP($A5,'5000m handicap'!$C$2:$C$46,1,FALSE)),0,VLOOKUP($A5,'5000m handicap'!$C$2:$K$46,9,FALSE))</f>
        <v>71.05</v>
      </c>
      <c r="J5" s="62">
        <f>IF(ISNA(VLOOKUP($A5,'KL handicap'!$C$2:$C$37,1,FALSE)),0,VLOOKUP($A5,'KL handicap'!$C$2:$I$37,7,FALSE))</f>
        <v>96.43</v>
      </c>
      <c r="K5" s="62">
        <f>IF(ISNA(VLOOKUP($A5,'3000m handicap'!$C$2:$C$47,1,FALSE)),0,VLOOKUP($A5,'3000m handicap'!$C$2:$K$47,9,FALSE))</f>
        <v>83.33</v>
      </c>
      <c r="L5" s="62">
        <f>IF(ISNA(VLOOKUP($A5,'10 km'!$B$2:$B$50,1,FALSE)),0,VLOOKUP($A5,'10 km'!$B$2:$D$50,3,FALSE))</f>
        <v>75.510000000000005</v>
      </c>
      <c r="M5" s="62">
        <f>IF(ISNA(VLOOKUP($A5,'Peter Moor 2000m'!$C$2:$C$30,1,FALSE)),0,VLOOKUP($A5,'Peter Moor 2000m'!$C$2:$I$30,7,FALSE))</f>
        <v>0</v>
      </c>
      <c r="N5" s="62">
        <f>IF(ISNA(VLOOKUP($A5,'Max Howard Tan handicap'!$C$2:$C$23,1,FALSE)),0,VLOOKUP($A5,'Max Howard Tan handicap'!$C$2:$I$23,7,FALSE))</f>
        <v>0</v>
      </c>
      <c r="O5" s="88">
        <f>IF(ISNA(VLOOKUP($A5,parkrun!$B$2:$H$145,1,FALSE)),0,VLOOKUP($A5,parkrun!$B$2:$H$145,7,FALSE))</f>
        <v>93.06</v>
      </c>
      <c r="P5" s="133">
        <f>SUM(F5:O5)</f>
        <v>702.06</v>
      </c>
      <c r="Q5" s="134">
        <f>COUNTIF(F5:O5,"&gt;0")</f>
        <v>8</v>
      </c>
      <c r="R5" s="215">
        <f>SMALL(F5:O5,1)+SMALL(F5:O5,2)</f>
        <v>0</v>
      </c>
      <c r="S5" s="215">
        <f>IF(Q5=1,P5,P5-R5)</f>
        <v>702.06</v>
      </c>
      <c r="T5" s="216">
        <f>RANK(P5,$P$5:$P$230,0)</f>
        <v>1</v>
      </c>
      <c r="U5" s="26">
        <f>RANK(S5,$S$5:$S$230,0)</f>
        <v>1</v>
      </c>
      <c r="V5" s="131"/>
      <c r="W5" s="113">
        <v>27344</v>
      </c>
      <c r="X5" s="58"/>
      <c r="Y5" s="126">
        <v>10</v>
      </c>
      <c r="Z5" s="149">
        <f>COUNTIF($Q$5:$Q$230,Y5)+'Progress points - Female'!Z5</f>
        <v>1</v>
      </c>
      <c r="AA5" s="127">
        <f>Z5/$Z$16</f>
        <v>3.6101083032490976E-3</v>
      </c>
      <c r="AB5" s="127">
        <f>Z5/($Z$16-$Z$15)</f>
        <v>5.9171597633136093E-3</v>
      </c>
      <c r="AD5" s="126">
        <v>10</v>
      </c>
      <c r="AE5" s="149">
        <f t="shared" ref="AE5:AE15" si="0">COUNTIF($Q$5:$Q$230,AD5)</f>
        <v>0</v>
      </c>
      <c r="AF5" s="127">
        <f>AE5/$AE$16</f>
        <v>0</v>
      </c>
      <c r="AG5" s="127">
        <f>AE5/($AE$16-$AE$15)</f>
        <v>0</v>
      </c>
    </row>
    <row r="6" spans="1:33" x14ac:dyDescent="0.2">
      <c r="A6" s="38" t="s">
        <v>32</v>
      </c>
      <c r="B6" s="81">
        <v>122</v>
      </c>
      <c r="C6" s="81" t="s">
        <v>233</v>
      </c>
      <c r="D6" s="146">
        <v>27386</v>
      </c>
      <c r="E6" s="81" t="s">
        <v>214</v>
      </c>
      <c r="F6" s="61">
        <f>IF(ISNA(VLOOKUP($A6,'2 Bridges Relay'!$F$2:$F$67,1,FALSE)),0,VLOOKUP($A6,'2 Bridges Relay'!$F$2:$J$67,5,FALSE))</f>
        <v>76.67</v>
      </c>
      <c r="G6" s="88">
        <f>IF(ISNA(VLOOKUP($A6,'5M''s'!$D$2:$E$27,1,FALSE)),0,VLOOKUP($A6,'5M''s'!$D$2:$E$27,2,FALSE))</f>
        <v>80</v>
      </c>
      <c r="H6" s="62">
        <f>IF(ISNA(VLOOKUP($A6,'Mile handicap'!$C$2:$C$51,1,FALSE)),0,VLOOKUP($A6,'Mile handicap'!$C$2:$K$51,9,FALSE))</f>
        <v>43.9</v>
      </c>
      <c r="I6" s="223">
        <f>IF(ISNA(VLOOKUP($A6,'5000m handicap'!$C$2:$C$46,1,FALSE)),0,VLOOKUP($A6,'5000m handicap'!$C$2:$K$46,9,FALSE))</f>
        <v>60.53</v>
      </c>
      <c r="J6" s="62">
        <f>IF(ISNA(VLOOKUP($A6,'KL handicap'!$C$2:$C$37,1,FALSE)),0,VLOOKUP($A6,'KL handicap'!$C$2:$I$37,7,FALSE))</f>
        <v>0</v>
      </c>
      <c r="K6" s="62">
        <f>IF(ISNA(VLOOKUP($A6,'3000m handicap'!$C$2:$C$47,1,FALSE)),0,VLOOKUP($A6,'3000m handicap'!$C$2:$K$47,9,FALSE))</f>
        <v>47.22</v>
      </c>
      <c r="L6" s="62">
        <f>IF(ISNA(VLOOKUP($A6,'10 km'!$B$2:$B$50,1,FALSE)),0,VLOOKUP($A6,'10 km'!$B$2:$D$50,3,FALSE))</f>
        <v>85.71</v>
      </c>
      <c r="M6" s="62">
        <f>IF(ISNA(VLOOKUP($A6,'Peter Moor 2000m'!$C$2:$C$30,1,FALSE)),0,VLOOKUP($A6,'Peter Moor 2000m'!$C$2:$I$30,7,FALSE))</f>
        <v>59.09</v>
      </c>
      <c r="N6" s="62">
        <f>IF(ISNA(VLOOKUP($A6,'Max Howard Tan handicap'!$C$2:$C$23,1,FALSE)),0,VLOOKUP($A6,'Max Howard Tan handicap'!$C$2:$I$23,7,FALSE))</f>
        <v>0</v>
      </c>
      <c r="O6" s="88">
        <f>IF(ISNA(VLOOKUP($A6,parkrun!$B$2:$H$145,1,FALSE)),0,VLOOKUP($A6,parkrun!$B$2:$H$145,7,FALSE))</f>
        <v>96.53</v>
      </c>
      <c r="P6" s="133">
        <f>SUM(F6:O6)</f>
        <v>549.65</v>
      </c>
      <c r="Q6" s="134">
        <f>COUNTIF(F6:O6,"&gt;0")</f>
        <v>8</v>
      </c>
      <c r="R6" s="215">
        <f>SMALL(F6:O6,1)+SMALL(F6:O6,2)</f>
        <v>0</v>
      </c>
      <c r="S6" s="215">
        <f>IF(Q6=1,P6,P6-R6)</f>
        <v>549.65</v>
      </c>
      <c r="T6" s="216">
        <f>RANK(P6,$P$5:$P$230,0)</f>
        <v>2</v>
      </c>
      <c r="U6" s="26">
        <f>RANK(S6,$S$5:$S$230,0)</f>
        <v>2</v>
      </c>
      <c r="W6" s="113">
        <v>26154</v>
      </c>
      <c r="X6" s="58"/>
      <c r="Y6" s="126">
        <v>9</v>
      </c>
      <c r="Z6" s="149">
        <f>COUNTIF($Q$5:$Q$230,Y6)+'Progress points - Female'!Z6</f>
        <v>2</v>
      </c>
      <c r="AA6" s="127">
        <f t="shared" ref="AA6:AA15" si="1">(Z6/$Z$16)+AA5</f>
        <v>1.0830324909747294E-2</v>
      </c>
      <c r="AB6" s="127">
        <f>Z6/($Z$16-$Z$15)+AB5</f>
        <v>1.7751479289940829E-2</v>
      </c>
      <c r="AD6" s="126">
        <v>9</v>
      </c>
      <c r="AE6" s="149">
        <f t="shared" si="0"/>
        <v>2</v>
      </c>
      <c r="AF6" s="127">
        <f t="shared" ref="AF6:AF15" si="2">(AE6/$AE$16)+AF5</f>
        <v>8.8888888888888889E-3</v>
      </c>
      <c r="AG6" s="127">
        <f>AE6/($AE$16-$AE$15)+AG5</f>
        <v>1.4184397163120567E-2</v>
      </c>
    </row>
    <row r="7" spans="1:33" x14ac:dyDescent="0.2">
      <c r="A7" s="38" t="s">
        <v>191</v>
      </c>
      <c r="B7" s="81">
        <v>200</v>
      </c>
      <c r="C7" s="81" t="s">
        <v>233</v>
      </c>
      <c r="D7" s="146">
        <v>30234</v>
      </c>
      <c r="E7" s="81" t="s">
        <v>214</v>
      </c>
      <c r="F7" s="61">
        <f>IF(ISNA(VLOOKUP($A7,'2 Bridges Relay'!$F$2:$F$67,1,FALSE)),0,VLOOKUP($A7,'2 Bridges Relay'!$F$2:$J$67,5,FALSE))</f>
        <v>90</v>
      </c>
      <c r="G7" s="88">
        <f>IF(ISNA(VLOOKUP($A7,'5M''s'!$D$2:$E$27,1,FALSE)),0,VLOOKUP($A7,'5M''s'!$D$2:$E$27,2,FALSE))</f>
        <v>70</v>
      </c>
      <c r="H7" s="88">
        <f>IF(ISNA(VLOOKUP($A7,'Mile handicap'!$C$2:$C$51,1,FALSE)),0,VLOOKUP($A7,'Mile handicap'!$C$2:$K$51,9,FALSE))</f>
        <v>97.56</v>
      </c>
      <c r="I7" s="62">
        <f>IF(ISNA(VLOOKUP($A7,'5000m handicap'!$C$2:$C$46,1,FALSE)),0,VLOOKUP($A7,'5000m handicap'!$C$2:$K$46,9,FALSE))</f>
        <v>5.26</v>
      </c>
      <c r="J7" s="223">
        <f>IF(ISNA(VLOOKUP($A7,'KL handicap'!$C$2:$C$37,1,FALSE)),0,VLOOKUP($A7,'KL handicap'!$C$2:$I$37,7,FALSE))</f>
        <v>60.71</v>
      </c>
      <c r="K7" s="62">
        <f>IF(ISNA(VLOOKUP($A7,'3000m handicap'!$C$2:$C$47,1,FALSE)),0,VLOOKUP($A7,'3000m handicap'!$C$2:$K$47,9,FALSE))</f>
        <v>19.440000000000001</v>
      </c>
      <c r="L7" s="62">
        <f>IF(ISNA(VLOOKUP($A7,'10 km'!$B$2:$B$50,1,FALSE)),0,VLOOKUP($A7,'10 km'!$B$2:$D$50,3,FALSE))</f>
        <v>32.65</v>
      </c>
      <c r="M7" s="62">
        <f>IF(ISNA(VLOOKUP($A7,'Peter Moor 2000m'!$C$2:$C$30,1,FALSE)),0,VLOOKUP($A7,'Peter Moor 2000m'!$C$2:$I$30,7,FALSE))</f>
        <v>81.819999999999993</v>
      </c>
      <c r="N7" s="62">
        <f>IF(ISNA(VLOOKUP($A7,'Max Howard Tan handicap'!$C$2:$C$23,1,FALSE)),0,VLOOKUP($A7,'Max Howard Tan handicap'!$C$2:$I$23,7,FALSE))</f>
        <v>0</v>
      </c>
      <c r="O7" s="88">
        <f>IF(ISNA(VLOOKUP($A7,parkrun!$B$2:$H$145,1,FALSE)),0,VLOOKUP($A7,parkrun!$B$2:$H$145,7,FALSE))</f>
        <v>47.92</v>
      </c>
      <c r="P7" s="133">
        <f>SUM(F7:O7)</f>
        <v>505.35999999999996</v>
      </c>
      <c r="Q7" s="134">
        <f>COUNTIF(F7:O7,"&gt;0")</f>
        <v>9</v>
      </c>
      <c r="R7" s="215">
        <f>SMALL(F7:O7,1)+SMALL(F7:O7,2)</f>
        <v>5.26</v>
      </c>
      <c r="S7" s="215">
        <f>IF(Q7=1,P7,P7-R7)</f>
        <v>500.09999999999997</v>
      </c>
      <c r="T7" s="216">
        <f>RANK(P7,$P$5:$P$230,0)</f>
        <v>3</v>
      </c>
      <c r="U7" s="26">
        <f>RANK(S7,$S$5:$S$230,0)</f>
        <v>3</v>
      </c>
      <c r="W7" s="113">
        <v>22747</v>
      </c>
      <c r="X7" s="58"/>
      <c r="Y7" s="126">
        <v>8</v>
      </c>
      <c r="Z7" s="149">
        <f>COUNTIF($Q$5:$Q$230,Y7)+'Progress points - Female'!Z7</f>
        <v>4</v>
      </c>
      <c r="AA7" s="127">
        <f t="shared" si="1"/>
        <v>2.5270758122743684E-2</v>
      </c>
      <c r="AB7" s="127">
        <f t="shared" ref="AB7:AB14" si="3">(Z7/($Z$16-$Z$15))+AB6</f>
        <v>4.142011834319527E-2</v>
      </c>
      <c r="AD7" s="126">
        <v>8</v>
      </c>
      <c r="AE7" s="149">
        <f t="shared" si="0"/>
        <v>4</v>
      </c>
      <c r="AF7" s="127">
        <f t="shared" si="2"/>
        <v>2.6666666666666665E-2</v>
      </c>
      <c r="AG7" s="127">
        <f t="shared" ref="AG7:AG14" si="4">(AE7/($AE$16-$AE$15))+AG6</f>
        <v>4.2553191489361701E-2</v>
      </c>
    </row>
    <row r="8" spans="1:33" x14ac:dyDescent="0.2">
      <c r="A8" s="38" t="s">
        <v>60</v>
      </c>
      <c r="B8" s="81">
        <v>8</v>
      </c>
      <c r="C8" s="81" t="s">
        <v>233</v>
      </c>
      <c r="D8" s="146">
        <v>25675</v>
      </c>
      <c r="E8" s="81" t="s">
        <v>214</v>
      </c>
      <c r="F8" s="61">
        <f>IF(ISNA(VLOOKUP($A8,'2 Bridges Relay'!$F$2:$F$67,1,FALSE)),0,VLOOKUP($A8,'2 Bridges Relay'!$F$2:$J$67,5,FALSE))</f>
        <v>83.33</v>
      </c>
      <c r="G8" s="218">
        <f>IF(ISNA(VLOOKUP($A8,'5M''s'!$D$2:$E$27,1,FALSE)),0,VLOOKUP($A8,'5M''s'!$D$2:$E$27,2,FALSE))</f>
        <v>90</v>
      </c>
      <c r="H8" s="62">
        <f>IF(ISNA(VLOOKUP($A8,'Mile handicap'!$C$2:$C$51,1,FALSE)),0,VLOOKUP($A8,'Mile handicap'!$C$2:$K$51,9,FALSE))</f>
        <v>68.290000000000006</v>
      </c>
      <c r="I8" s="62">
        <f>IF(ISNA(VLOOKUP($A8,'5000m handicap'!$C$2:$C$46,1,FALSE)),0,VLOOKUP($A8,'5000m handicap'!$C$2:$K$46,9,FALSE))</f>
        <v>73.680000000000007</v>
      </c>
      <c r="J8" s="62">
        <f>IF(ISNA(VLOOKUP($A8,'KL handicap'!$C$2:$C$37,1,FALSE)),0,VLOOKUP($A8,'KL handicap'!$C$2:$I$37,7,FALSE))</f>
        <v>89.29</v>
      </c>
      <c r="K8" s="62">
        <f>IF(ISNA(VLOOKUP($A8,'3000m handicap'!$C$2:$C$47,1,FALSE)),0,VLOOKUP($A8,'3000m handicap'!$C$2:$K$47,9,FALSE))</f>
        <v>0</v>
      </c>
      <c r="L8" s="62">
        <f>IF(ISNA(VLOOKUP($A8,'10 km'!$B$2:$B$50,1,FALSE)),0,VLOOKUP($A8,'10 km'!$B$2:$D$50,3,FALSE))</f>
        <v>0</v>
      </c>
      <c r="M8" s="62">
        <f>IF(ISNA(VLOOKUP($A8,'Peter Moor 2000m'!$C$2:$C$30,1,FALSE)),0,VLOOKUP($A8,'Peter Moor 2000m'!$C$2:$I$30,7,FALSE))</f>
        <v>0</v>
      </c>
      <c r="N8" s="62">
        <f>IF(ISNA(VLOOKUP($A8,'Max Howard Tan handicap'!$C$2:$C$23,1,FALSE)),0,VLOOKUP($A8,'Max Howard Tan handicap'!$C$2:$I$23,7,FALSE))</f>
        <v>0</v>
      </c>
      <c r="O8" s="88">
        <f>IF(ISNA(VLOOKUP($A8,parkrun!$B$2:$H$145,1,FALSE)),0,VLOOKUP($A8,parkrun!$B$2:$H$145,7,FALSE))</f>
        <v>92.36</v>
      </c>
      <c r="P8" s="133">
        <f>SUM(F8:O8)</f>
        <v>496.95000000000005</v>
      </c>
      <c r="Q8" s="134">
        <f>COUNTIF(F8:O8,"&gt;0")</f>
        <v>6</v>
      </c>
      <c r="R8" s="215">
        <f>SMALL(F8:O8,1)+SMALL(F8:O8,2)</f>
        <v>0</v>
      </c>
      <c r="S8" s="215">
        <f>IF(Q8=1,P8,P8-R8)</f>
        <v>496.95000000000005</v>
      </c>
      <c r="T8" s="216">
        <f>RANK(P8,$P$5:$P$230,0)</f>
        <v>4</v>
      </c>
      <c r="U8" s="26">
        <f>RANK(S8,$S$5:$S$230,0)</f>
        <v>4</v>
      </c>
      <c r="W8" s="113">
        <v>25581</v>
      </c>
      <c r="X8" s="58"/>
      <c r="Y8" s="126">
        <v>7</v>
      </c>
      <c r="Z8" s="149">
        <f>COUNTIF($Q$5:$Q$230,Y8)+'Progress points - Female'!Z8</f>
        <v>7</v>
      </c>
      <c r="AA8" s="127">
        <f t="shared" si="1"/>
        <v>5.0541516245487361E-2</v>
      </c>
      <c r="AB8" s="127">
        <f t="shared" si="3"/>
        <v>8.2840236686390539E-2</v>
      </c>
      <c r="AD8" s="126">
        <v>7</v>
      </c>
      <c r="AE8" s="149">
        <f t="shared" si="0"/>
        <v>7</v>
      </c>
      <c r="AF8" s="127">
        <f t="shared" si="2"/>
        <v>5.7777777777777775E-2</v>
      </c>
      <c r="AG8" s="127">
        <f t="shared" si="4"/>
        <v>9.2198581560283682E-2</v>
      </c>
    </row>
    <row r="9" spans="1:33" x14ac:dyDescent="0.2">
      <c r="A9" s="38" t="s">
        <v>182</v>
      </c>
      <c r="B9" s="81">
        <v>196</v>
      </c>
      <c r="C9" s="81" t="s">
        <v>233</v>
      </c>
      <c r="D9" s="146">
        <v>30591</v>
      </c>
      <c r="E9" s="81" t="s">
        <v>214</v>
      </c>
      <c r="F9" s="61">
        <f>IF(ISNA(VLOOKUP($A9,'2 Bridges Relay'!$F$2:$F$67,1,FALSE)),0,VLOOKUP($A9,'2 Bridges Relay'!$F$2:$J$67,5,FALSE))</f>
        <v>73.33</v>
      </c>
      <c r="G9" s="88">
        <f>IF(ISNA(VLOOKUP($A9,'5M''s'!$D$2:$E$27,1,FALSE)),0,VLOOKUP($A9,'5M''s'!$D$2:$E$27,2,FALSE))</f>
        <v>0</v>
      </c>
      <c r="H9" s="62">
        <f>IF(ISNA(VLOOKUP($A9,'Mile handicap'!$C$2:$C$51,1,FALSE)),0,VLOOKUP($A9,'Mile handicap'!$C$2:$K$51,9,FALSE))</f>
        <v>58.54</v>
      </c>
      <c r="I9" s="62">
        <f>IF(ISNA(VLOOKUP($A9,'5000m handicap'!$C$2:$C$46,1,FALSE)),0,VLOOKUP($A9,'5000m handicap'!$C$2:$K$46,9,FALSE))</f>
        <v>92.11</v>
      </c>
      <c r="J9" s="62">
        <f>IF(ISNA(VLOOKUP($A9,'KL handicap'!$C$2:$C$37,1,FALSE)),0,VLOOKUP($A9,'KL handicap'!$C$2:$I$37,7,FALSE))</f>
        <v>0</v>
      </c>
      <c r="K9" s="62">
        <f>IF(ISNA(VLOOKUP($A9,'3000m handicap'!$C$2:$C$47,1,FALSE)),0,VLOOKUP($A9,'3000m handicap'!$C$2:$K$47,9,FALSE))</f>
        <v>0</v>
      </c>
      <c r="L9" s="224">
        <f>IF(ISNA(VLOOKUP($A9,'10 km'!$B$2:$B$50,1,FALSE)),0,VLOOKUP($A9,'10 km'!$B$2:$D$50,3,FALSE))</f>
        <v>100</v>
      </c>
      <c r="M9" s="62">
        <f>IF(ISNA(VLOOKUP($A9,'Peter Moor 2000m'!$C$2:$C$30,1,FALSE)),0,VLOOKUP($A9,'Peter Moor 2000m'!$C$2:$I$30,7,FALSE))</f>
        <v>68.180000000000007</v>
      </c>
      <c r="N9" s="62">
        <f>IF(ISNA(VLOOKUP($A9,'Max Howard Tan handicap'!$C$2:$C$23,1,FALSE)),0,VLOOKUP($A9,'Max Howard Tan handicap'!$C$2:$I$23,7,FALSE))</f>
        <v>0</v>
      </c>
      <c r="O9" s="88">
        <f>IF(ISNA(VLOOKUP($A9,parkrun!$B$2:$H$145,1,FALSE)),0,VLOOKUP($A9,parkrun!$B$2:$H$145,7,FALSE))</f>
        <v>95.83</v>
      </c>
      <c r="P9" s="133">
        <f>SUM(F9:O9)</f>
        <v>487.99</v>
      </c>
      <c r="Q9" s="134">
        <f>COUNTIF(F9:O9,"&gt;0")</f>
        <v>6</v>
      </c>
      <c r="R9" s="215">
        <f>SMALL(F9:O9,1)+SMALL(F9:O9,2)</f>
        <v>0</v>
      </c>
      <c r="S9" s="215">
        <f>IF(Q9=1,P9,P9-R9)</f>
        <v>487.99</v>
      </c>
      <c r="T9" s="216">
        <f>RANK(P9,$P$5:$P$230,0)</f>
        <v>5</v>
      </c>
      <c r="U9" s="26">
        <f>RANK(S9,$S$5:$S$230,0)</f>
        <v>5</v>
      </c>
      <c r="W9" s="113">
        <v>27732</v>
      </c>
      <c r="X9" s="58"/>
      <c r="Y9" s="126">
        <v>6</v>
      </c>
      <c r="Z9" s="149">
        <f>COUNTIF($Q$5:$Q$230,Y9)+'Progress points - Female'!Z9</f>
        <v>13</v>
      </c>
      <c r="AA9" s="127">
        <f t="shared" si="1"/>
        <v>9.7472924187725629E-2</v>
      </c>
      <c r="AB9" s="127">
        <f t="shared" si="3"/>
        <v>0.15976331360946747</v>
      </c>
      <c r="AD9" s="126">
        <v>6</v>
      </c>
      <c r="AE9" s="149">
        <f t="shared" si="0"/>
        <v>10</v>
      </c>
      <c r="AF9" s="127">
        <f t="shared" si="2"/>
        <v>0.10222222222222221</v>
      </c>
      <c r="AG9" s="127">
        <f t="shared" si="4"/>
        <v>0.16312056737588654</v>
      </c>
    </row>
    <row r="10" spans="1:33" x14ac:dyDescent="0.2">
      <c r="A10" s="38" t="s">
        <v>145</v>
      </c>
      <c r="B10" s="81">
        <v>167</v>
      </c>
      <c r="C10" s="81" t="s">
        <v>233</v>
      </c>
      <c r="D10" s="146">
        <v>30631</v>
      </c>
      <c r="E10" s="81" t="s">
        <v>214</v>
      </c>
      <c r="F10" s="61">
        <f>IF(ISNA(VLOOKUP($A10,'2 Bridges Relay'!$F$2:$F$67,1,FALSE)),0,VLOOKUP($A10,'2 Bridges Relay'!$F$2:$J$67,5,FALSE))</f>
        <v>60</v>
      </c>
      <c r="G10" s="88">
        <f>IF(ISNA(VLOOKUP($A10,'5M''s'!$D$2:$E$27,1,FALSE)),0,VLOOKUP($A10,'5M''s'!$D$2:$E$27,2,FALSE))</f>
        <v>70</v>
      </c>
      <c r="H10" s="62">
        <f>IF(ISNA(VLOOKUP($A10,'Mile handicap'!$C$2:$C$51,1,FALSE)),0,VLOOKUP($A10,'Mile handicap'!$C$2:$K$51,9,FALSE))</f>
        <v>0</v>
      </c>
      <c r="I10" s="62">
        <f>IF(ISNA(VLOOKUP($A10,'5000m handicap'!$C$2:$C$46,1,FALSE)),0,VLOOKUP($A10,'5000m handicap'!$C$2:$K$46,9,FALSE))</f>
        <v>81.58</v>
      </c>
      <c r="J10" s="62">
        <f>IF(ISNA(VLOOKUP($A10,'KL handicap'!$C$2:$C$37,1,FALSE)),0,VLOOKUP($A10,'KL handicap'!$C$2:$I$37,7,FALSE))</f>
        <v>0</v>
      </c>
      <c r="K10" s="62">
        <f>IF(ISNA(VLOOKUP($A10,'3000m handicap'!$C$2:$C$47,1,FALSE)),0,VLOOKUP($A10,'3000m handicap'!$C$2:$K$47,9,FALSE))</f>
        <v>58.33</v>
      </c>
      <c r="L10" s="62">
        <f>IF(ISNA(VLOOKUP($A10,'10 km'!$B$2:$B$50,1,FALSE)),0,VLOOKUP($A10,'10 km'!$B$2:$D$50,3,FALSE))</f>
        <v>79.59</v>
      </c>
      <c r="M10" s="223">
        <f>IF(ISNA(VLOOKUP($A10,'Peter Moor 2000m'!$C$2:$C$30,1,FALSE)),0,VLOOKUP($A10,'Peter Moor 2000m'!$C$2:$I$30,7,FALSE))</f>
        <v>63.64</v>
      </c>
      <c r="N10" s="62">
        <f>IF(ISNA(VLOOKUP($A10,'Max Howard Tan handicap'!$C$2:$C$23,1,FALSE)),0,VLOOKUP($A10,'Max Howard Tan handicap'!$C$2:$I$23,7,FALSE))</f>
        <v>0</v>
      </c>
      <c r="O10" s="88">
        <f>IF(ISNA(VLOOKUP($A10,parkrun!$B$2:$H$145,1,FALSE)),0,VLOOKUP($A10,parkrun!$B$2:$H$145,7,FALSE))</f>
        <v>66.67</v>
      </c>
      <c r="P10" s="133">
        <f>SUM(F10:O10)</f>
        <v>479.81</v>
      </c>
      <c r="Q10" s="134">
        <f>COUNTIF(F10:O10,"&gt;0")</f>
        <v>7</v>
      </c>
      <c r="R10" s="215">
        <f>SMALL(F10:O10,1)+SMALL(F10:O10,2)</f>
        <v>0</v>
      </c>
      <c r="S10" s="215">
        <f>IF(Q10=1,P10,P10-R10)</f>
        <v>479.81</v>
      </c>
      <c r="T10" s="216">
        <f>RANK(P10,$P$5:$P$230,0)</f>
        <v>6</v>
      </c>
      <c r="U10" s="26">
        <f>RANK(S10,$S$5:$S$230,0)</f>
        <v>6</v>
      </c>
      <c r="W10" s="113">
        <v>28051</v>
      </c>
      <c r="X10" s="58"/>
      <c r="Y10" s="181">
        <v>5</v>
      </c>
      <c r="Z10" s="186">
        <f>COUNTIF($Q$5:$Q$230,Y10)+'Progress points - Female'!Z10</f>
        <v>10</v>
      </c>
      <c r="AA10" s="185">
        <f t="shared" si="1"/>
        <v>0.13357400722021662</v>
      </c>
      <c r="AB10" s="182">
        <f t="shared" si="3"/>
        <v>0.21893491124260356</v>
      </c>
      <c r="AD10" s="181">
        <v>5</v>
      </c>
      <c r="AE10" s="186">
        <f t="shared" si="0"/>
        <v>6</v>
      </c>
      <c r="AF10" s="185">
        <f t="shared" si="2"/>
        <v>0.12888888888888889</v>
      </c>
      <c r="AG10" s="182">
        <f t="shared" si="4"/>
        <v>0.20567375886524825</v>
      </c>
    </row>
    <row r="11" spans="1:33" x14ac:dyDescent="0.2">
      <c r="A11" s="38" t="s">
        <v>74</v>
      </c>
      <c r="B11" s="81">
        <v>108</v>
      </c>
      <c r="C11" s="81" t="s">
        <v>233</v>
      </c>
      <c r="D11" s="146">
        <v>28179</v>
      </c>
      <c r="E11" s="81" t="s">
        <v>214</v>
      </c>
      <c r="F11" s="61">
        <f>IF(ISNA(VLOOKUP($A11,'2 Bridges Relay'!$F$2:$F$67,1,FALSE)),0,VLOOKUP($A11,'2 Bridges Relay'!$F$2:$J$67,5,FALSE))</f>
        <v>90</v>
      </c>
      <c r="G11" s="217">
        <f>IF(ISNA(VLOOKUP($A11,'5M''s'!$D$2:$E$27,1,FALSE)),0,VLOOKUP($A11,'5M''s'!$D$2:$E$27,2,FALSE))</f>
        <v>100</v>
      </c>
      <c r="H11" s="223">
        <f>IF(ISNA(VLOOKUP($A11,'Mile handicap'!$C$2:$C$51,1,FALSE)),0,VLOOKUP($A11,'Mile handicap'!$C$2:$K$51,9,FALSE))</f>
        <v>60.98</v>
      </c>
      <c r="I11" s="88">
        <f>IF(ISNA(VLOOKUP($A11,'5000m handicap'!$C$2:$C$46,1,FALSE)),0,VLOOKUP($A11,'5000m handicap'!$C$2:$K$46,9,FALSE))</f>
        <v>7.89</v>
      </c>
      <c r="J11" s="62">
        <f>IF(ISNA(VLOOKUP($A11,'KL handicap'!$C$2:$C$37,1,FALSE)),0,VLOOKUP($A11,'KL handicap'!$C$2:$I$37,7,FALSE))</f>
        <v>32.14</v>
      </c>
      <c r="K11" s="62">
        <f>IF(ISNA(VLOOKUP($A11,'3000m handicap'!$C$2:$C$47,1,FALSE)),0,VLOOKUP($A11,'3000m handicap'!$C$2:$K$47,9,FALSE))</f>
        <v>30.56</v>
      </c>
      <c r="L11" s="62">
        <f>IF(ISNA(VLOOKUP($A11,'10 km'!$B$2:$B$50,1,FALSE)),0,VLOOKUP($A11,'10 km'!$B$2:$D$50,3,FALSE))</f>
        <v>73.47</v>
      </c>
      <c r="M11" s="62">
        <f>IF(ISNA(VLOOKUP($A11,'Peter Moor 2000m'!$C$2:$C$30,1,FALSE)),0,VLOOKUP($A11,'Peter Moor 2000m'!$C$2:$I$30,7,FALSE))</f>
        <v>0</v>
      </c>
      <c r="N11" s="62">
        <f>IF(ISNA(VLOOKUP($A11,'Max Howard Tan handicap'!$C$2:$C$23,1,FALSE)),0,VLOOKUP($A11,'Max Howard Tan handicap'!$C$2:$I$23,7,FALSE))</f>
        <v>0</v>
      </c>
      <c r="O11" s="88">
        <f>IF(ISNA(VLOOKUP($A11,parkrun!$B$2:$H$145,1,FALSE)),0,VLOOKUP($A11,parkrun!$B$2:$H$145,7,FALSE))</f>
        <v>51.39</v>
      </c>
      <c r="P11" s="133">
        <f>SUM(F11:O11)</f>
        <v>446.42999999999995</v>
      </c>
      <c r="Q11" s="134">
        <f>COUNTIF(F11:O11,"&gt;0")</f>
        <v>8</v>
      </c>
      <c r="R11" s="215">
        <f>SMALL(F11:O11,1)+SMALL(F11:O11,2)</f>
        <v>0</v>
      </c>
      <c r="S11" s="215">
        <f>IF(Q11=1,P11,P11-R11)</f>
        <v>446.42999999999995</v>
      </c>
      <c r="T11" s="216">
        <f>RANK(P11,$P$5:$P$230,0)</f>
        <v>7</v>
      </c>
      <c r="U11" s="26">
        <f>RANK(S11,$S$5:$S$230,0)</f>
        <v>7</v>
      </c>
      <c r="W11" s="113">
        <v>25984</v>
      </c>
      <c r="X11" s="58"/>
      <c r="Y11" s="126">
        <v>4</v>
      </c>
      <c r="Z11" s="149">
        <f>COUNTIF($Q$5:$Q$230,Y11)+'Progress points - Female'!Z11</f>
        <v>11</v>
      </c>
      <c r="AA11" s="127">
        <f t="shared" si="1"/>
        <v>0.1732851985559567</v>
      </c>
      <c r="AB11" s="127">
        <f t="shared" si="3"/>
        <v>0.28402366863905326</v>
      </c>
      <c r="AD11" s="126">
        <v>4</v>
      </c>
      <c r="AE11" s="149">
        <f t="shared" si="0"/>
        <v>9</v>
      </c>
      <c r="AF11" s="127">
        <f t="shared" si="2"/>
        <v>0.16888888888888889</v>
      </c>
      <c r="AG11" s="127">
        <f t="shared" si="4"/>
        <v>0.26950354609929078</v>
      </c>
    </row>
    <row r="12" spans="1:33" x14ac:dyDescent="0.2">
      <c r="A12" s="38" t="s">
        <v>347</v>
      </c>
      <c r="B12" s="81">
        <v>287</v>
      </c>
      <c r="C12" s="81" t="s">
        <v>233</v>
      </c>
      <c r="D12" s="146">
        <v>25147</v>
      </c>
      <c r="E12" s="81" t="s">
        <v>214</v>
      </c>
      <c r="F12" s="61">
        <f>IF(ISNA(VLOOKUP($A12,'2 Bridges Relay'!$F$2:$F$67,1,FALSE)),0,VLOOKUP($A12,'2 Bridges Relay'!$F$2:$J$67,5,FALSE))</f>
        <v>0</v>
      </c>
      <c r="G12" s="88">
        <f>IF(ISNA(VLOOKUP($A12,'5M''s'!$D$2:$E$27,1,FALSE)),0,VLOOKUP($A12,'5M''s'!$D$2:$E$27,2,FALSE))</f>
        <v>0</v>
      </c>
      <c r="H12" s="62">
        <f>IF(ISNA(VLOOKUP($A12,'Mile handicap'!$C$2:$C$51,1,FALSE)),0,VLOOKUP($A12,'Mile handicap'!$C$2:$K$51,9,FALSE))</f>
        <v>24.39</v>
      </c>
      <c r="I12" s="62">
        <f>IF(ISNA(VLOOKUP($A12,'5000m handicap'!$C$2:$C$46,1,FALSE)),0,VLOOKUP($A12,'5000m handicap'!$C$2:$K$46,9,FALSE))</f>
        <v>92.11</v>
      </c>
      <c r="J12" s="62">
        <f>IF(ISNA(VLOOKUP($A12,'KL handicap'!$C$2:$C$37,1,FALSE)),0,VLOOKUP($A12,'KL handicap'!$C$2:$I$37,7,FALSE))</f>
        <v>92.86</v>
      </c>
      <c r="K12" s="62">
        <f>IF(ISNA(VLOOKUP($A12,'3000m handicap'!$C$2:$C$47,1,FALSE)),0,VLOOKUP($A12,'3000m handicap'!$C$2:$K$47,9,FALSE))</f>
        <v>75</v>
      </c>
      <c r="L12" s="62">
        <f>IF(ISNA(VLOOKUP($A12,'10 km'!$B$2:$B$50,1,FALSE)),0,VLOOKUP($A12,'10 km'!$B$2:$D$50,3,FALSE))</f>
        <v>18.37</v>
      </c>
      <c r="M12" s="62">
        <f>IF(ISNA(VLOOKUP($A12,'Peter Moor 2000m'!$C$2:$C$30,1,FALSE)),0,VLOOKUP($A12,'Peter Moor 2000m'!$C$2:$I$30,7,FALSE))</f>
        <v>45.45</v>
      </c>
      <c r="N12" s="62">
        <f>IF(ISNA(VLOOKUP($A12,'Max Howard Tan handicap'!$C$2:$C$23,1,FALSE)),0,VLOOKUP($A12,'Max Howard Tan handicap'!$C$2:$I$23,7,FALSE))</f>
        <v>0</v>
      </c>
      <c r="O12" s="88">
        <f>IF(ISNA(VLOOKUP($A12,parkrun!$B$2:$H$145,1,FALSE)),0,VLOOKUP($A12,parkrun!$B$2:$H$145,7,FALSE))</f>
        <v>86.11</v>
      </c>
      <c r="P12" s="133">
        <f>SUM(F12:O12)</f>
        <v>434.29</v>
      </c>
      <c r="Q12" s="134">
        <f>COUNTIF(F12:O12,"&gt;0")</f>
        <v>7</v>
      </c>
      <c r="R12" s="215">
        <f>SMALL(F12:O12,1)+SMALL(F12:O12,2)</f>
        <v>0</v>
      </c>
      <c r="S12" s="215">
        <f>IF(Q12=1,P12,P12-R12)</f>
        <v>434.29</v>
      </c>
      <c r="T12" s="216">
        <f>RANK(P12,$P$5:$P$230,0)</f>
        <v>8</v>
      </c>
      <c r="U12" s="26">
        <f>RANK(S12,$S$5:$S$230,0)</f>
        <v>8</v>
      </c>
      <c r="W12" s="113">
        <v>28142</v>
      </c>
      <c r="X12" s="58"/>
      <c r="Y12" s="126">
        <v>3</v>
      </c>
      <c r="Z12" s="149">
        <f>COUNTIF($Q$5:$Q$230,Y12)+'Progress points - Female'!Z12</f>
        <v>21</v>
      </c>
      <c r="AA12" s="127">
        <f t="shared" si="1"/>
        <v>0.24909747292418774</v>
      </c>
      <c r="AB12" s="127">
        <f t="shared" si="3"/>
        <v>0.40828402366863903</v>
      </c>
      <c r="AD12" s="126">
        <v>3</v>
      </c>
      <c r="AE12" s="149">
        <f t="shared" si="0"/>
        <v>18</v>
      </c>
      <c r="AF12" s="127">
        <f t="shared" si="2"/>
        <v>0.24888888888888888</v>
      </c>
      <c r="AG12" s="127">
        <f t="shared" si="4"/>
        <v>0.3971631205673759</v>
      </c>
    </row>
    <row r="13" spans="1:33" x14ac:dyDescent="0.2">
      <c r="A13" s="38" t="s">
        <v>396</v>
      </c>
      <c r="B13" s="81">
        <v>308</v>
      </c>
      <c r="C13" s="81" t="s">
        <v>233</v>
      </c>
      <c r="D13" s="146">
        <v>26857</v>
      </c>
      <c r="E13" s="81" t="s">
        <v>214</v>
      </c>
      <c r="F13" s="61">
        <f>IF(ISNA(VLOOKUP($A13,'2 Bridges Relay'!$F$2:$F$67,1,FALSE)),0,VLOOKUP($A13,'2 Bridges Relay'!$F$2:$J$67,5,FALSE))</f>
        <v>0</v>
      </c>
      <c r="G13" s="88">
        <f>IF(ISNA(VLOOKUP($A13,'5M''s'!$D$2:$E$27,1,FALSE)),0,VLOOKUP($A13,'5M''s'!$D$2:$E$27,2,FALSE))</f>
        <v>0</v>
      </c>
      <c r="H13" s="224">
        <f>IF(ISNA(VLOOKUP($A13,'Mile handicap'!$C$2:$C$51,1,FALSE)),0,VLOOKUP($A13,'Mile handicap'!$C$2:$K$51,9,FALSE))</f>
        <v>100</v>
      </c>
      <c r="I13" s="62">
        <f>IF(ISNA(VLOOKUP($A13,'5000m handicap'!$C$2:$C$46,1,FALSE)),0,VLOOKUP($A13,'5000m handicap'!$C$2:$K$46,9,FALSE))</f>
        <v>57.89</v>
      </c>
      <c r="J13" s="62">
        <f>IF(ISNA(VLOOKUP($A13,'KL handicap'!$C$2:$C$37,1,FALSE)),0,VLOOKUP($A13,'KL handicap'!$C$2:$I$37,7,FALSE))</f>
        <v>21.43</v>
      </c>
      <c r="K13" s="62">
        <f>IF(ISNA(VLOOKUP($A13,'3000m handicap'!$C$2:$C$47,1,FALSE)),0,VLOOKUP($A13,'3000m handicap'!$C$2:$K$47,9,FALSE))</f>
        <v>66.67</v>
      </c>
      <c r="L13" s="62">
        <f>IF(ISNA(VLOOKUP($A13,'10 km'!$B$2:$B$50,1,FALSE)),0,VLOOKUP($A13,'10 km'!$B$2:$D$50,3,FALSE))</f>
        <v>0</v>
      </c>
      <c r="M13" s="62">
        <f>IF(ISNA(VLOOKUP($A13,'Peter Moor 2000m'!$C$2:$C$30,1,FALSE)),0,VLOOKUP($A13,'Peter Moor 2000m'!$C$2:$I$30,7,FALSE))</f>
        <v>50</v>
      </c>
      <c r="N13" s="62">
        <f>IF(ISNA(VLOOKUP($A13,'Max Howard Tan handicap'!$C$2:$C$23,1,FALSE)),0,VLOOKUP($A13,'Max Howard Tan handicap'!$C$2:$I$23,7,FALSE))</f>
        <v>56.25</v>
      </c>
      <c r="O13" s="88">
        <f>IF(ISNA(VLOOKUP($A13,parkrun!$B$2:$H$145,1,FALSE)),0,VLOOKUP($A13,parkrun!$B$2:$H$145,7,FALSE))</f>
        <v>46.53</v>
      </c>
      <c r="P13" s="133">
        <f>SUM(F13:O13)</f>
        <v>398.77</v>
      </c>
      <c r="Q13" s="134">
        <f>COUNTIF(F13:O13,"&gt;0")</f>
        <v>7</v>
      </c>
      <c r="R13" s="215">
        <f>SMALL(F13:O13,1)+SMALL(F13:O13,2)</f>
        <v>0</v>
      </c>
      <c r="S13" s="215">
        <f>IF(Q13=1,P13,P13-R13)</f>
        <v>398.77</v>
      </c>
      <c r="T13" s="216">
        <f>RANK(P13,$P$5:$P$230,0)</f>
        <v>9</v>
      </c>
      <c r="U13" s="26">
        <f>RANK(S13,$S$5:$S$230,0)</f>
        <v>9</v>
      </c>
      <c r="W13" s="113">
        <v>29937</v>
      </c>
      <c r="X13" s="58"/>
      <c r="Y13" s="126">
        <v>2</v>
      </c>
      <c r="Z13" s="149">
        <f>COUNTIF($Q$5:$Q$230,Y13)+'Progress points - Female'!Z13</f>
        <v>35</v>
      </c>
      <c r="AA13" s="127">
        <f t="shared" si="1"/>
        <v>0.37545126353790614</v>
      </c>
      <c r="AB13" s="127">
        <f t="shared" si="3"/>
        <v>0.61538461538461542</v>
      </c>
      <c r="AD13" s="126">
        <v>2</v>
      </c>
      <c r="AE13" s="149">
        <f t="shared" si="0"/>
        <v>28</v>
      </c>
      <c r="AF13" s="127">
        <f t="shared" si="2"/>
        <v>0.37333333333333329</v>
      </c>
      <c r="AG13" s="127">
        <f t="shared" si="4"/>
        <v>0.5957446808510638</v>
      </c>
    </row>
    <row r="14" spans="1:33" x14ac:dyDescent="0.2">
      <c r="A14" s="38" t="s">
        <v>127</v>
      </c>
      <c r="B14" s="81">
        <v>153</v>
      </c>
      <c r="C14" s="81" t="s">
        <v>233</v>
      </c>
      <c r="D14" s="146">
        <v>27654</v>
      </c>
      <c r="E14" s="81" t="s">
        <v>214</v>
      </c>
      <c r="F14" s="61">
        <f>IF(ISNA(VLOOKUP($A14,'2 Bridges Relay'!$F$2:$F$67,1,FALSE)),0,VLOOKUP($A14,'2 Bridges Relay'!$F$2:$J$67,5,FALSE))</f>
        <v>70</v>
      </c>
      <c r="G14" s="88">
        <f>IF(ISNA(VLOOKUP($A14,'5M''s'!$D$2:$E$27,1,FALSE)),0,VLOOKUP($A14,'5M''s'!$D$2:$E$27,2,FALSE))</f>
        <v>0</v>
      </c>
      <c r="H14" s="223">
        <f>IF(ISNA(VLOOKUP($A14,'Mile handicap'!$C$2:$C$51,1,FALSE)),0,VLOOKUP($A14,'Mile handicap'!$C$2:$K$51,9,FALSE))</f>
        <v>60.98</v>
      </c>
      <c r="I14" s="62">
        <f>IF(ISNA(VLOOKUP($A14,'5000m handicap'!$C$2:$C$46,1,FALSE)),0,VLOOKUP($A14,'5000m handicap'!$C$2:$K$46,9,FALSE))</f>
        <v>0</v>
      </c>
      <c r="J14" s="62">
        <f>IF(ISNA(VLOOKUP($A14,'KL handicap'!$C$2:$C$37,1,FALSE)),0,VLOOKUP($A14,'KL handicap'!$C$2:$I$37,7,FALSE))</f>
        <v>85.71</v>
      </c>
      <c r="K14" s="62">
        <f>IF(ISNA(VLOOKUP($A14,'3000m handicap'!$C$2:$C$47,1,FALSE)),0,VLOOKUP($A14,'3000m handicap'!$C$2:$K$47,9,FALSE))</f>
        <v>58.33</v>
      </c>
      <c r="L14" s="62">
        <f>IF(ISNA(VLOOKUP($A14,'10 km'!$B$2:$B$50,1,FALSE)),0,VLOOKUP($A14,'10 km'!$B$2:$D$50,3,FALSE))</f>
        <v>59.18</v>
      </c>
      <c r="M14" s="62">
        <f>IF(ISNA(VLOOKUP($A14,'Peter Moor 2000m'!$C$2:$C$30,1,FALSE)),0,VLOOKUP($A14,'Peter Moor 2000m'!$C$2:$I$30,7,FALSE))</f>
        <v>0</v>
      </c>
      <c r="N14" s="62">
        <f>IF(ISNA(VLOOKUP($A14,'Max Howard Tan handicap'!$C$2:$C$23,1,FALSE)),0,VLOOKUP($A14,'Max Howard Tan handicap'!$C$2:$I$23,7,FALSE))</f>
        <v>0</v>
      </c>
      <c r="O14" s="88">
        <f>IF(ISNA(VLOOKUP($A14,parkrun!$B$2:$H$145,1,FALSE)),0,VLOOKUP($A14,parkrun!$B$2:$H$145,7,FALSE))</f>
        <v>61.81</v>
      </c>
      <c r="P14" s="133">
        <f>SUM(F14:O14)</f>
        <v>396.01</v>
      </c>
      <c r="Q14" s="134">
        <f>COUNTIF(F14:O14,"&gt;0")</f>
        <v>6</v>
      </c>
      <c r="R14" s="215">
        <f>SMALL(F14:O14,1)+SMALL(F14:O14,2)</f>
        <v>0</v>
      </c>
      <c r="S14" s="215">
        <f>IF(Q14=1,P14,P14-R14)</f>
        <v>396.01</v>
      </c>
      <c r="T14" s="216">
        <f>RANK(P14,$P$5:$P$230,0)</f>
        <v>10</v>
      </c>
      <c r="U14" s="26">
        <f>RANK(S14,$S$5:$S$230,0)</f>
        <v>10</v>
      </c>
      <c r="W14" s="113">
        <v>28643</v>
      </c>
      <c r="X14" s="58"/>
      <c r="Y14" s="126">
        <v>1</v>
      </c>
      <c r="Z14" s="149">
        <f>COUNTIF($Q$5:$Q$230,Y14)+'Progress points - Female'!Z14</f>
        <v>65</v>
      </c>
      <c r="AA14" s="127">
        <f t="shared" si="1"/>
        <v>0.61010830324909748</v>
      </c>
      <c r="AB14" s="127">
        <f t="shared" si="3"/>
        <v>1</v>
      </c>
      <c r="AD14" s="126">
        <v>1</v>
      </c>
      <c r="AE14" s="149">
        <f t="shared" si="0"/>
        <v>57</v>
      </c>
      <c r="AF14" s="127">
        <f t="shared" si="2"/>
        <v>0.62666666666666671</v>
      </c>
      <c r="AG14" s="127">
        <f t="shared" si="4"/>
        <v>1</v>
      </c>
    </row>
    <row r="15" spans="1:33" x14ac:dyDescent="0.2">
      <c r="A15" s="38" t="s">
        <v>59</v>
      </c>
      <c r="B15" s="81">
        <v>120</v>
      </c>
      <c r="C15" s="81" t="s">
        <v>233</v>
      </c>
      <c r="D15" s="146">
        <v>26469</v>
      </c>
      <c r="E15" s="81" t="s">
        <v>214</v>
      </c>
      <c r="F15" s="61">
        <f>IF(ISNA(VLOOKUP($A15,'2 Bridges Relay'!$F$2:$F$67,1,FALSE)),0,VLOOKUP($A15,'2 Bridges Relay'!$F$2:$J$67,5,FALSE))</f>
        <v>53.33</v>
      </c>
      <c r="G15" s="88">
        <f>IF(ISNA(VLOOKUP($A15,'5M''s'!$D$2:$E$27,1,FALSE)),0,VLOOKUP($A15,'5M''s'!$D$2:$E$27,2,FALSE))</f>
        <v>0</v>
      </c>
      <c r="H15" s="62">
        <f>IF(ISNA(VLOOKUP($A15,'Mile handicap'!$C$2:$C$51,1,FALSE)),0,VLOOKUP($A15,'Mile handicap'!$C$2:$K$51,9,FALSE))</f>
        <v>0</v>
      </c>
      <c r="I15" s="62">
        <f>IF(ISNA(VLOOKUP($A15,'5000m handicap'!$C$2:$C$46,1,FALSE)),0,VLOOKUP($A15,'5000m handicap'!$C$2:$K$46,9,FALSE))</f>
        <v>60.53</v>
      </c>
      <c r="J15" s="62">
        <f>IF(ISNA(VLOOKUP($A15,'KL handicap'!$C$2:$C$37,1,FALSE)),0,VLOOKUP($A15,'KL handicap'!$C$2:$I$37,7,FALSE))</f>
        <v>67.86</v>
      </c>
      <c r="K15" s="62">
        <f>IF(ISNA(VLOOKUP($A15,'3000m handicap'!$C$2:$C$47,1,FALSE)),0,VLOOKUP($A15,'3000m handicap'!$C$2:$K$47,9,FALSE))</f>
        <v>75</v>
      </c>
      <c r="L15" s="62">
        <f>IF(ISNA(VLOOKUP($A15,'10 km'!$B$2:$B$50,1,FALSE)),0,VLOOKUP($A15,'10 km'!$B$2:$D$50,3,FALSE))</f>
        <v>0</v>
      </c>
      <c r="M15" s="62">
        <f>IF(ISNA(VLOOKUP($A15,'Peter Moor 2000m'!$C$2:$C$30,1,FALSE)),0,VLOOKUP($A15,'Peter Moor 2000m'!$C$2:$I$30,7,FALSE))</f>
        <v>0</v>
      </c>
      <c r="N15" s="62">
        <f>IF(ISNA(VLOOKUP($A15,'Max Howard Tan handicap'!$C$2:$C$23,1,FALSE)),0,VLOOKUP($A15,'Max Howard Tan handicap'!$C$2:$I$23,7,FALSE))</f>
        <v>93.75</v>
      </c>
      <c r="O15" s="88">
        <f>IF(ISNA(VLOOKUP($A15,parkrun!$B$2:$H$145,1,FALSE)),0,VLOOKUP($A15,parkrun!$B$2:$H$145,7,FALSE))</f>
        <v>43.75</v>
      </c>
      <c r="P15" s="133">
        <f>SUM(F15:O15)</f>
        <v>394.22</v>
      </c>
      <c r="Q15" s="134">
        <f>COUNTIF(F15:O15,"&gt;0")</f>
        <v>6</v>
      </c>
      <c r="R15" s="215">
        <f>SMALL(F15:O15,1)+SMALL(F15:O15,2)</f>
        <v>0</v>
      </c>
      <c r="S15" s="215">
        <f>IF(Q15=1,P15,P15-R15)</f>
        <v>394.22</v>
      </c>
      <c r="T15" s="216">
        <f>RANK(P15,$P$5:$P$230,0)</f>
        <v>11</v>
      </c>
      <c r="U15" s="26">
        <f>RANK(S15,$S$5:$S$230,0)</f>
        <v>11</v>
      </c>
      <c r="W15" s="113">
        <v>25831</v>
      </c>
      <c r="X15" s="58"/>
      <c r="Y15" s="126">
        <v>0</v>
      </c>
      <c r="Z15" s="149">
        <f>COUNTIF($Q$5:$Q$230,Y15)+'Progress points - Female'!Z15</f>
        <v>108</v>
      </c>
      <c r="AA15" s="127">
        <f t="shared" si="1"/>
        <v>1</v>
      </c>
      <c r="AD15" s="126">
        <v>0</v>
      </c>
      <c r="AE15" s="149">
        <f t="shared" si="0"/>
        <v>84</v>
      </c>
      <c r="AF15" s="127">
        <f t="shared" si="2"/>
        <v>1</v>
      </c>
    </row>
    <row r="16" spans="1:33" x14ac:dyDescent="0.2">
      <c r="A16" s="38" t="s">
        <v>98</v>
      </c>
      <c r="B16" s="81">
        <v>104</v>
      </c>
      <c r="C16" s="81" t="s">
        <v>233</v>
      </c>
      <c r="D16" s="146">
        <v>27521</v>
      </c>
      <c r="E16" s="81" t="s">
        <v>214</v>
      </c>
      <c r="F16" s="61">
        <f>IF(ISNA(VLOOKUP($A16,'2 Bridges Relay'!$F$2:$F$67,1,FALSE)),0,VLOOKUP($A16,'2 Bridges Relay'!$F$2:$J$67,5,FALSE))</f>
        <v>66.67</v>
      </c>
      <c r="G16" s="88">
        <f>IF(ISNA(VLOOKUP($A16,'5M''s'!$D$2:$E$27,1,FALSE)),0,VLOOKUP($A16,'5M''s'!$D$2:$E$27,2,FALSE))</f>
        <v>0</v>
      </c>
      <c r="H16" s="62">
        <f>IF(ISNA(VLOOKUP($A16,'Mile handicap'!$C$2:$C$51,1,FALSE)),0,VLOOKUP($A16,'Mile handicap'!$C$2:$K$51,9,FALSE))</f>
        <v>85.37</v>
      </c>
      <c r="I16" s="62">
        <f>IF(ISNA(VLOOKUP($A16,'5000m handicap'!$C$2:$C$46,1,FALSE)),0,VLOOKUP($A16,'5000m handicap'!$C$2:$K$46,9,FALSE))</f>
        <v>78.95</v>
      </c>
      <c r="J16" s="223">
        <f>IF(ISNA(VLOOKUP($A16,'KL handicap'!$C$2:$C$37,1,FALSE)),0,VLOOKUP($A16,'KL handicap'!$C$2:$I$37,7,FALSE))</f>
        <v>60.71</v>
      </c>
      <c r="K16" s="62">
        <f>IF(ISNA(VLOOKUP($A16,'3000m handicap'!$C$2:$C$47,1,FALSE)),0,VLOOKUP($A16,'3000m handicap'!$C$2:$K$47,9,FALSE))</f>
        <v>0</v>
      </c>
      <c r="L16" s="62">
        <f>IF(ISNA(VLOOKUP($A16,'10 km'!$B$2:$B$50,1,FALSE)),0,VLOOKUP($A16,'10 km'!$B$2:$D$50,3,FALSE))</f>
        <v>0</v>
      </c>
      <c r="M16" s="62">
        <f>IF(ISNA(VLOOKUP($A16,'Peter Moor 2000m'!$C$2:$C$30,1,FALSE)),0,VLOOKUP($A16,'Peter Moor 2000m'!$C$2:$I$30,7,FALSE))</f>
        <v>86.36</v>
      </c>
      <c r="N16" s="62">
        <f>IF(ISNA(VLOOKUP($A16,'Max Howard Tan handicap'!$C$2:$C$23,1,FALSE)),0,VLOOKUP($A16,'Max Howard Tan handicap'!$C$2:$I$23,7,FALSE))</f>
        <v>6.25</v>
      </c>
      <c r="O16" s="88">
        <f>IF(ISNA(VLOOKUP($A16,parkrun!$B$2:$H$145,1,FALSE)),0,VLOOKUP($A16,parkrun!$B$2:$H$145,7,FALSE))</f>
        <v>0</v>
      </c>
      <c r="P16" s="133">
        <f>SUM(F16:O16)</f>
        <v>384.31</v>
      </c>
      <c r="Q16" s="134">
        <f>COUNTIF(F16:O16,"&gt;0")</f>
        <v>6</v>
      </c>
      <c r="R16" s="215">
        <f>SMALL(F16:O16,1)+SMALL(F16:O16,2)</f>
        <v>0</v>
      </c>
      <c r="S16" s="215">
        <f>IF(Q16=1,P16,P16-R16)</f>
        <v>384.31</v>
      </c>
      <c r="T16" s="216">
        <f>RANK(P16,$P$5:$P$230,0)</f>
        <v>12</v>
      </c>
      <c r="U16" s="26">
        <f>RANK(S16,$S$5:$S$230,0)</f>
        <v>12</v>
      </c>
      <c r="W16" s="113">
        <v>27296</v>
      </c>
      <c r="X16" s="58"/>
      <c r="Y16" s="126"/>
      <c r="Z16" s="126">
        <f>SUM(Z5:Z15)</f>
        <v>277</v>
      </c>
      <c r="AA16" s="128"/>
      <c r="AD16" s="126"/>
      <c r="AE16" s="126">
        <f>SUM(AE5:AE15)</f>
        <v>225</v>
      </c>
      <c r="AF16" s="128"/>
    </row>
    <row r="17" spans="1:30" x14ac:dyDescent="0.2">
      <c r="A17" s="38" t="s">
        <v>125</v>
      </c>
      <c r="B17" s="81">
        <v>114</v>
      </c>
      <c r="C17" s="81" t="s">
        <v>233</v>
      </c>
      <c r="D17" s="146">
        <v>20133</v>
      </c>
      <c r="E17" s="81" t="s">
        <v>196</v>
      </c>
      <c r="F17" s="61">
        <f>IF(ISNA(VLOOKUP($A17,'2 Bridges Relay'!$F$2:$F$67,1,FALSE)),0,VLOOKUP($A17,'2 Bridges Relay'!$F$2:$J$67,5,FALSE))</f>
        <v>66.67</v>
      </c>
      <c r="G17" s="88">
        <f>IF(ISNA(VLOOKUP($A17,'5M''s'!$D$2:$E$27,1,FALSE)),0,VLOOKUP($A17,'5M''s'!$D$2:$E$27,2,FALSE))</f>
        <v>80</v>
      </c>
      <c r="H17" s="62">
        <f>IF(ISNA(VLOOKUP($A17,'Mile handicap'!$C$2:$C$51,1,FALSE)),0,VLOOKUP($A17,'Mile handicap'!$C$2:$K$51,9,FALSE))</f>
        <v>63.41</v>
      </c>
      <c r="I17" s="62">
        <f>IF(ISNA(VLOOKUP($A17,'5000m handicap'!$C$2:$C$46,1,FALSE)),0,VLOOKUP($A17,'5000m handicap'!$C$2:$K$46,9,FALSE))</f>
        <v>0</v>
      </c>
      <c r="J17" s="62">
        <f>IF(ISNA(VLOOKUP($A17,'KL handicap'!$C$2:$C$37,1,FALSE)),0,VLOOKUP($A17,'KL handicap'!$C$2:$I$37,7,FALSE))</f>
        <v>0</v>
      </c>
      <c r="K17" s="62">
        <f>IF(ISNA(VLOOKUP($A17,'3000m handicap'!$C$2:$C$47,1,FALSE)),0,VLOOKUP($A17,'3000m handicap'!$C$2:$K$47,9,FALSE))</f>
        <v>0</v>
      </c>
      <c r="L17" s="62">
        <f>IF(ISNA(VLOOKUP($A17,'10 km'!$B$2:$B$50,1,FALSE)),0,VLOOKUP($A17,'10 km'!$B$2:$D$50,3,FALSE))</f>
        <v>0</v>
      </c>
      <c r="M17" s="62">
        <f>IF(ISNA(VLOOKUP($A17,'Peter Moor 2000m'!$C$2:$C$30,1,FALSE)),0,VLOOKUP($A17,'Peter Moor 2000m'!$C$2:$I$30,7,FALSE))</f>
        <v>72.73</v>
      </c>
      <c r="N17" s="62">
        <f>IF(ISNA(VLOOKUP($A17,'Max Howard Tan handicap'!$C$2:$C$23,1,FALSE)),0,VLOOKUP($A17,'Max Howard Tan handicap'!$C$2:$I$23,7,FALSE))</f>
        <v>12.5</v>
      </c>
      <c r="O17" s="88">
        <f>IF(ISNA(VLOOKUP($A17,parkrun!$B$2:$H$145,1,FALSE)),0,VLOOKUP($A17,parkrun!$B$2:$H$145,7,FALSE))</f>
        <v>79.86</v>
      </c>
      <c r="P17" s="133">
        <f>SUM(F17:O17)</f>
        <v>375.17</v>
      </c>
      <c r="Q17" s="134">
        <f>COUNTIF(F17:O17,"&gt;0")</f>
        <v>6</v>
      </c>
      <c r="R17" s="215">
        <f>SMALL(F17:O17,1)+SMALL(F17:O17,2)</f>
        <v>0</v>
      </c>
      <c r="S17" s="215">
        <f>IF(Q17=1,P17,P17-R17)</f>
        <v>375.17</v>
      </c>
      <c r="T17" s="216">
        <f>RANK(P17,$P$5:$P$230,0)</f>
        <v>13</v>
      </c>
      <c r="U17" s="26">
        <f>RANK(S17,$S$5:$S$230,0)</f>
        <v>13</v>
      </c>
      <c r="W17" s="113">
        <v>25675</v>
      </c>
      <c r="X17" s="58"/>
      <c r="Y17" s="126"/>
      <c r="AD17" s="126"/>
    </row>
    <row r="18" spans="1:30" x14ac:dyDescent="0.2">
      <c r="A18" s="38" t="s">
        <v>85</v>
      </c>
      <c r="B18" s="81">
        <v>85</v>
      </c>
      <c r="C18" s="81" t="s">
        <v>233</v>
      </c>
      <c r="D18" s="146">
        <v>27296</v>
      </c>
      <c r="E18" s="81" t="s">
        <v>214</v>
      </c>
      <c r="F18" s="61">
        <f>IF(ISNA(VLOOKUP($A18,'2 Bridges Relay'!$F$2:$F$67,1,FALSE)),0,VLOOKUP($A18,'2 Bridges Relay'!$F$2:$J$67,5,FALSE))</f>
        <v>56.67</v>
      </c>
      <c r="G18" s="88">
        <f>IF(ISNA(VLOOKUP($A18,'5M''s'!$D$2:$E$27,1,FALSE)),0,VLOOKUP($A18,'5M''s'!$D$2:$E$27,2,FALSE))</f>
        <v>0</v>
      </c>
      <c r="H18" s="62">
        <f>IF(ISNA(VLOOKUP($A18,'Mile handicap'!$C$2:$C$51,1,FALSE)),0,VLOOKUP($A18,'Mile handicap'!$C$2:$K$51,9,FALSE))</f>
        <v>26.83</v>
      </c>
      <c r="I18" s="62">
        <f>IF(ISNA(VLOOKUP($A18,'5000m handicap'!$C$2:$C$46,1,FALSE)),0,VLOOKUP($A18,'5000m handicap'!$C$2:$K$46,9,FALSE))</f>
        <v>76.319999999999993</v>
      </c>
      <c r="J18" s="88">
        <f>IF(ISNA(VLOOKUP($A18,'KL handicap'!$C$2:$C$37,1,FALSE)),0,VLOOKUP($A18,'KL handicap'!$C$2:$I$37,7,FALSE))</f>
        <v>0</v>
      </c>
      <c r="K18" s="62">
        <f>IF(ISNA(VLOOKUP($A18,'3000m handicap'!$C$2:$C$47,1,FALSE)),0,VLOOKUP($A18,'3000m handicap'!$C$2:$K$47,9,FALSE))</f>
        <v>36.11</v>
      </c>
      <c r="L18" s="62">
        <f>IF(ISNA(VLOOKUP($A18,'10 km'!$B$2:$B$50,1,FALSE)),0,VLOOKUP($A18,'10 km'!$B$2:$D$50,3,FALSE))</f>
        <v>83.67</v>
      </c>
      <c r="M18" s="62">
        <f>IF(ISNA(VLOOKUP($A18,'Peter Moor 2000m'!$C$2:$C$30,1,FALSE)),0,VLOOKUP($A18,'Peter Moor 2000m'!$C$2:$I$30,7,FALSE))</f>
        <v>0</v>
      </c>
      <c r="N18" s="62">
        <f>IF(ISNA(VLOOKUP($A18,'Max Howard Tan handicap'!$C$2:$C$23,1,FALSE)),0,VLOOKUP($A18,'Max Howard Tan handicap'!$C$2:$I$23,7,FALSE))</f>
        <v>0</v>
      </c>
      <c r="O18" s="88">
        <f>IF(ISNA(VLOOKUP($A18,parkrun!$B$2:$H$145,1,FALSE)),0,VLOOKUP($A18,parkrun!$B$2:$H$145,7,FALSE))</f>
        <v>95.14</v>
      </c>
      <c r="P18" s="133">
        <f>SUM(F18:O18)</f>
        <v>374.74</v>
      </c>
      <c r="Q18" s="134">
        <f>COUNTIF(F18:O18,"&gt;0")</f>
        <v>6</v>
      </c>
      <c r="R18" s="215">
        <f>SMALL(F18:O18,1)+SMALL(F18:O18,2)</f>
        <v>0</v>
      </c>
      <c r="S18" s="215">
        <f>IF(Q18=1,P18,P18-R18)</f>
        <v>374.74</v>
      </c>
      <c r="T18" s="216">
        <f>RANK(P18,$P$5:$P$230,0)</f>
        <v>14</v>
      </c>
      <c r="U18" s="26">
        <f>RANK(S18,$S$5:$S$230,0)</f>
        <v>14</v>
      </c>
      <c r="W18" s="113">
        <v>27654</v>
      </c>
      <c r="X18" s="58"/>
      <c r="Y18" s="126"/>
      <c r="AD18" s="126"/>
    </row>
    <row r="19" spans="1:30" x14ac:dyDescent="0.2">
      <c r="A19" s="38" t="s">
        <v>124</v>
      </c>
      <c r="B19" s="81">
        <v>150</v>
      </c>
      <c r="C19" s="81" t="s">
        <v>233</v>
      </c>
      <c r="D19" s="146">
        <v>27347</v>
      </c>
      <c r="E19" s="81" t="s">
        <v>214</v>
      </c>
      <c r="F19" s="61">
        <f>IF(ISNA(VLOOKUP($A19,'2 Bridges Relay'!$F$2:$F$67,1,FALSE)),0,VLOOKUP($A19,'2 Bridges Relay'!$F$2:$J$67,5,FALSE))</f>
        <v>66.67</v>
      </c>
      <c r="G19" s="88">
        <f>IF(ISNA(VLOOKUP($A19,'5M''s'!$D$2:$E$27,1,FALSE)),0,VLOOKUP($A19,'5M''s'!$D$2:$E$27,2,FALSE))</f>
        <v>70</v>
      </c>
      <c r="H19" s="62">
        <f>IF(ISNA(VLOOKUP($A19,'Mile handicap'!$C$2:$C$51,1,FALSE)),0,VLOOKUP($A19,'Mile handicap'!$C$2:$K$51,9,FALSE))</f>
        <v>41.46</v>
      </c>
      <c r="I19" s="62">
        <f>IF(ISNA(VLOOKUP($A19,'5000m handicap'!$C$2:$C$46,1,FALSE)),0,VLOOKUP($A19,'5000m handicap'!$C$2:$K$46,9,FALSE))</f>
        <v>23.68</v>
      </c>
      <c r="J19" s="62">
        <f>IF(ISNA(VLOOKUP($A19,'KL handicap'!$C$2:$C$37,1,FALSE)),0,VLOOKUP($A19,'KL handicap'!$C$2:$I$37,7,FALSE))</f>
        <v>42.86</v>
      </c>
      <c r="K19" s="62">
        <f>IF(ISNA(VLOOKUP($A19,'3000m handicap'!$C$2:$C$47,1,FALSE)),0,VLOOKUP($A19,'3000m handicap'!$C$2:$K$47,9,FALSE))</f>
        <v>52.78</v>
      </c>
      <c r="L19" s="62">
        <f>IF(ISNA(VLOOKUP($A19,'10 km'!$B$2:$B$50,1,FALSE)),0,VLOOKUP($A19,'10 km'!$B$2:$D$50,3,FALSE))</f>
        <v>0</v>
      </c>
      <c r="M19" s="62">
        <f>IF(ISNA(VLOOKUP($A19,'Peter Moor 2000m'!$C$2:$C$30,1,FALSE)),0,VLOOKUP($A19,'Peter Moor 2000m'!$C$2:$I$30,7,FALSE))</f>
        <v>36.36</v>
      </c>
      <c r="N19" s="62">
        <f>IF(ISNA(VLOOKUP($A19,'Max Howard Tan handicap'!$C$2:$C$23,1,FALSE)),0,VLOOKUP($A19,'Max Howard Tan handicap'!$C$2:$I$23,7,FALSE))</f>
        <v>37.5</v>
      </c>
      <c r="O19" s="88">
        <f>IF(ISNA(VLOOKUP($A19,parkrun!$B$2:$H$145,1,FALSE)),0,VLOOKUP($A19,parkrun!$B$2:$H$145,7,FALSE))</f>
        <v>0</v>
      </c>
      <c r="P19" s="133">
        <f>SUM(F19:O19)</f>
        <v>371.31000000000006</v>
      </c>
      <c r="Q19" s="134">
        <f>COUNTIF(F19:O19,"&gt;0")</f>
        <v>8</v>
      </c>
      <c r="R19" s="215">
        <f>SMALL(F19:O19,1)+SMALL(F19:O19,2)</f>
        <v>0</v>
      </c>
      <c r="S19" s="215">
        <f>IF(Q19=1,P19,P19-R19)</f>
        <v>371.31000000000006</v>
      </c>
      <c r="T19" s="216">
        <f>RANK(P19,$P$5:$P$230,0)</f>
        <v>15</v>
      </c>
      <c r="U19" s="26">
        <f>RANK(S19,$S$5:$S$230,0)</f>
        <v>15</v>
      </c>
      <c r="W19" s="113">
        <v>26478</v>
      </c>
      <c r="X19" s="58"/>
      <c r="Y19" s="126"/>
      <c r="AD19" s="126"/>
    </row>
    <row r="20" spans="1:30" x14ac:dyDescent="0.2">
      <c r="A20" s="38" t="s">
        <v>173</v>
      </c>
      <c r="B20" s="81">
        <v>190</v>
      </c>
      <c r="C20" s="81" t="s">
        <v>233</v>
      </c>
      <c r="D20" s="146">
        <v>30976</v>
      </c>
      <c r="E20" s="81" t="s">
        <v>214</v>
      </c>
      <c r="F20" s="61">
        <f>IF(ISNA(VLOOKUP($A20,'2 Bridges Relay'!$F$2:$F$67,1,FALSE)),0,VLOOKUP($A20,'2 Bridges Relay'!$F$2:$J$67,5,FALSE))</f>
        <v>76.67</v>
      </c>
      <c r="G20" s="88">
        <f>IF(ISNA(VLOOKUP($A20,'5M''s'!$D$2:$E$27,1,FALSE)),0,VLOOKUP($A20,'5M''s'!$D$2:$E$27,2,FALSE))</f>
        <v>0</v>
      </c>
      <c r="H20" s="62">
        <f>IF(ISNA(VLOOKUP($A20,'Mile handicap'!$C$2:$C$51,1,FALSE)),0,VLOOKUP($A20,'Mile handicap'!$C$2:$K$51,9,FALSE))</f>
        <v>48.78</v>
      </c>
      <c r="I20" s="62">
        <f>IF(ISNA(VLOOKUP($A20,'5000m handicap'!$C$2:$C$46,1,FALSE)),0,VLOOKUP($A20,'5000m handicap'!$C$2:$K$46,9,FALSE))</f>
        <v>68.42</v>
      </c>
      <c r="J20" s="62">
        <f>IF(ISNA(VLOOKUP($A20,'KL handicap'!$C$2:$C$37,1,FALSE)),0,VLOOKUP($A20,'KL handicap'!$C$2:$I$37,7,FALSE))</f>
        <v>0</v>
      </c>
      <c r="K20" s="62">
        <f>IF(ISNA(VLOOKUP($A20,'3000m handicap'!$C$2:$C$47,1,FALSE)),0,VLOOKUP($A20,'3000m handicap'!$C$2:$K$47,9,FALSE))</f>
        <v>88.89</v>
      </c>
      <c r="L20" s="62">
        <f>IF(ISNA(VLOOKUP($A20,'10 km'!$B$2:$B$50,1,FALSE)),0,VLOOKUP($A20,'10 km'!$B$2:$D$50,3,FALSE))</f>
        <v>0</v>
      </c>
      <c r="M20" s="62">
        <f>IF(ISNA(VLOOKUP($A20,'Peter Moor 2000m'!$C$2:$C$30,1,FALSE)),0,VLOOKUP($A20,'Peter Moor 2000m'!$C$2:$I$30,7,FALSE))</f>
        <v>31.82</v>
      </c>
      <c r="N20" s="62">
        <f>IF(ISNA(VLOOKUP($A20,'Max Howard Tan handicap'!$C$2:$C$23,1,FALSE)),0,VLOOKUP($A20,'Max Howard Tan handicap'!$C$2:$I$23,7,FALSE))</f>
        <v>31.25</v>
      </c>
      <c r="O20" s="88">
        <f>IF(ISNA(VLOOKUP($A20,parkrun!$B$2:$H$145,1,FALSE)),0,VLOOKUP($A20,parkrun!$B$2:$H$145,7,FALSE))</f>
        <v>23.61</v>
      </c>
      <c r="P20" s="133">
        <f>SUM(F20:O20)</f>
        <v>369.44</v>
      </c>
      <c r="Q20" s="134">
        <f>COUNTIF(F20:O20,"&gt;0")</f>
        <v>7</v>
      </c>
      <c r="R20" s="215">
        <f>SMALL(F20:O20,1)+SMALL(F20:O20,2)</f>
        <v>0</v>
      </c>
      <c r="S20" s="215">
        <f>IF(Q20=1,P20,P20-R20)</f>
        <v>369.44</v>
      </c>
      <c r="T20" s="216">
        <f>RANK(P20,$P$5:$P$230,0)</f>
        <v>16</v>
      </c>
      <c r="U20" s="26">
        <f>RANK(S20,$S$5:$S$230,0)</f>
        <v>16</v>
      </c>
      <c r="W20" s="113">
        <v>27386</v>
      </c>
      <c r="X20" s="58"/>
      <c r="Y20" s="126"/>
      <c r="AD20" s="126"/>
    </row>
    <row r="21" spans="1:30" x14ac:dyDescent="0.2">
      <c r="A21" s="38" t="s">
        <v>46</v>
      </c>
      <c r="B21" s="81">
        <v>98</v>
      </c>
      <c r="C21" s="81" t="s">
        <v>233</v>
      </c>
      <c r="D21" s="146">
        <v>28398</v>
      </c>
      <c r="E21" s="81" t="s">
        <v>214</v>
      </c>
      <c r="F21" s="61">
        <f>IF(ISNA(VLOOKUP($A21,'2 Bridges Relay'!$F$2:$F$67,1,FALSE)),0,VLOOKUP($A21,'2 Bridges Relay'!$F$2:$J$67,5,FALSE))</f>
        <v>76.67</v>
      </c>
      <c r="G21" s="88">
        <f>IF(ISNA(VLOOKUP($A21,'5M''s'!$D$2:$E$27,1,FALSE)),0,VLOOKUP($A21,'5M''s'!$D$2:$E$27,2,FALSE))</f>
        <v>0</v>
      </c>
      <c r="H21" s="62">
        <f>IF(ISNA(VLOOKUP($A21,'Mile handicap'!$C$2:$C$51,1,FALSE)),0,VLOOKUP($A21,'Mile handicap'!$C$2:$K$51,9,FALSE))</f>
        <v>34.15</v>
      </c>
      <c r="I21" s="88">
        <f>IF(ISNA(VLOOKUP($A21,'5000m handicap'!$C$2:$C$46,1,FALSE)),0,VLOOKUP($A21,'5000m handicap'!$C$2:$K$46,9,FALSE))</f>
        <v>2.63</v>
      </c>
      <c r="J21" s="224">
        <f>IF(ISNA(VLOOKUP($A21,'KL handicap'!$C$2:$C$37,1,FALSE)),0,VLOOKUP($A21,'KL handicap'!$C$2:$I$37,7,FALSE))</f>
        <v>100</v>
      </c>
      <c r="K21" s="62">
        <f>IF(ISNA(VLOOKUP($A21,'3000m handicap'!$C$2:$C$47,1,FALSE)),0,VLOOKUP($A21,'3000m handicap'!$C$2:$K$47,9,FALSE))</f>
        <v>30.56</v>
      </c>
      <c r="L21" s="62">
        <f>IF(ISNA(VLOOKUP($A21,'10 km'!$B$2:$B$50,1,FALSE)),0,VLOOKUP($A21,'10 km'!$B$2:$D$50,3,FALSE))</f>
        <v>14.29</v>
      </c>
      <c r="M21" s="62">
        <f>IF(ISNA(VLOOKUP($A21,'Peter Moor 2000m'!$C$2:$C$30,1,FALSE)),0,VLOOKUP($A21,'Peter Moor 2000m'!$C$2:$I$30,7,FALSE))</f>
        <v>40.909999999999997</v>
      </c>
      <c r="N21" s="62">
        <f>IF(ISNA(VLOOKUP($A21,'Max Howard Tan handicap'!$C$2:$C$23,1,FALSE)),0,VLOOKUP($A21,'Max Howard Tan handicap'!$C$2:$I$23,7,FALSE))</f>
        <v>25</v>
      </c>
      <c r="O21" s="88">
        <f>IF(ISNA(VLOOKUP($A21,parkrun!$B$2:$H$145,1,FALSE)),0,VLOOKUP($A21,parkrun!$B$2:$H$145,7,FALSE))</f>
        <v>26.39</v>
      </c>
      <c r="P21" s="133">
        <f>SUM(F21:O21)</f>
        <v>350.6</v>
      </c>
      <c r="Q21" s="134">
        <f>COUNTIF(F21:O21,"&gt;0")</f>
        <v>9</v>
      </c>
      <c r="R21" s="215">
        <f>SMALL(F21:O21,1)+SMALL(F21:O21,2)</f>
        <v>2.63</v>
      </c>
      <c r="S21" s="215">
        <f>IF(Q21=1,P21,P21-R21)</f>
        <v>347.97</v>
      </c>
      <c r="T21" s="216">
        <f>RANK(P21,$P$5:$P$230,0)</f>
        <v>17</v>
      </c>
      <c r="U21" s="26">
        <f>RANK(S21,$S$5:$S$230,0)</f>
        <v>17</v>
      </c>
      <c r="W21" s="113">
        <v>27347</v>
      </c>
      <c r="X21" s="58"/>
      <c r="Y21" s="44"/>
      <c r="AD21" s="44"/>
    </row>
    <row r="22" spans="1:30" x14ac:dyDescent="0.2">
      <c r="A22" s="38" t="s">
        <v>139</v>
      </c>
      <c r="B22" s="81">
        <v>139</v>
      </c>
      <c r="C22" s="81" t="s">
        <v>233</v>
      </c>
      <c r="D22" s="146">
        <v>28953</v>
      </c>
      <c r="E22" s="81" t="s">
        <v>214</v>
      </c>
      <c r="F22" s="61">
        <f>IF(ISNA(VLOOKUP($A22,'2 Bridges Relay'!$F$2:$F$67,1,FALSE)),0,VLOOKUP($A22,'2 Bridges Relay'!$F$2:$J$67,5,FALSE))</f>
        <v>0</v>
      </c>
      <c r="G22" s="88">
        <f>IF(ISNA(VLOOKUP($A22,'5M''s'!$D$2:$E$27,1,FALSE)),0,VLOOKUP($A22,'5M''s'!$D$2:$E$27,2,FALSE))</f>
        <v>90</v>
      </c>
      <c r="H22" s="62">
        <f>IF(ISNA(VLOOKUP($A22,'Mile handicap'!$C$2:$C$51,1,FALSE)),0,VLOOKUP($A22,'Mile handicap'!$C$2:$K$51,9,FALSE))</f>
        <v>0</v>
      </c>
      <c r="I22" s="62">
        <f>IF(ISNA(VLOOKUP($A22,'5000m handicap'!$C$2:$C$46,1,FALSE)),0,VLOOKUP($A22,'5000m handicap'!$C$2:$K$46,9,FALSE))</f>
        <v>94.74</v>
      </c>
      <c r="J22" s="62">
        <f>IF(ISNA(VLOOKUP($A22,'KL handicap'!$C$2:$C$37,1,FALSE)),0,VLOOKUP($A22,'KL handicap'!$C$2:$I$37,7,FALSE))</f>
        <v>0</v>
      </c>
      <c r="K22" s="62">
        <f>IF(ISNA(VLOOKUP($A22,'3000m handicap'!$C$2:$C$47,1,FALSE)),0,VLOOKUP($A22,'3000m handicap'!$C$2:$K$47,9,FALSE))</f>
        <v>0</v>
      </c>
      <c r="L22" s="62">
        <f>IF(ISNA(VLOOKUP($A22,'10 km'!$B$2:$B$50,1,FALSE)),0,VLOOKUP($A22,'10 km'!$B$2:$D$50,3,FALSE))</f>
        <v>0</v>
      </c>
      <c r="M22" s="62">
        <f>IF(ISNA(VLOOKUP($A22,'Peter Moor 2000m'!$C$2:$C$30,1,FALSE)),0,VLOOKUP($A22,'Peter Moor 2000m'!$C$2:$I$30,7,FALSE))</f>
        <v>0</v>
      </c>
      <c r="N22" s="62">
        <f>IF(ISNA(VLOOKUP($A22,'Max Howard Tan handicap'!$C$2:$C$23,1,FALSE)),0,VLOOKUP($A22,'Max Howard Tan handicap'!$C$2:$I$23,7,FALSE))</f>
        <v>81.25</v>
      </c>
      <c r="O22" s="88">
        <f>IF(ISNA(VLOOKUP($A22,parkrun!$B$2:$H$145,1,FALSE)),0,VLOOKUP($A22,parkrun!$B$2:$H$145,7,FALSE))</f>
        <v>77.08</v>
      </c>
      <c r="P22" s="133">
        <f>SUM(F22:O22)</f>
        <v>343.07</v>
      </c>
      <c r="Q22" s="134">
        <f>COUNTIF(F22:O22,"&gt;0")</f>
        <v>4</v>
      </c>
      <c r="R22" s="215">
        <f>SMALL(F22:O22,1)+SMALL(F22:O22,2)</f>
        <v>0</v>
      </c>
      <c r="S22" s="215">
        <f>IF(Q22=1,P22,P22-R22)</f>
        <v>343.07</v>
      </c>
      <c r="T22" s="216">
        <f>RANK(P22,$P$5:$P$230,0)</f>
        <v>18</v>
      </c>
      <c r="U22" s="26">
        <f>RANK(S22,$S$5:$S$230,0)</f>
        <v>18</v>
      </c>
      <c r="W22" s="113">
        <v>25449</v>
      </c>
      <c r="X22" s="58"/>
      <c r="Y22" s="44"/>
      <c r="AD22" s="44"/>
    </row>
    <row r="23" spans="1:30" x14ac:dyDescent="0.2">
      <c r="A23" s="38" t="s">
        <v>175</v>
      </c>
      <c r="B23" s="81">
        <v>193</v>
      </c>
      <c r="C23" s="81" t="s">
        <v>233</v>
      </c>
      <c r="D23" s="146">
        <v>22905</v>
      </c>
      <c r="E23" s="81" t="s">
        <v>196</v>
      </c>
      <c r="F23" s="61">
        <f>IF(ISNA(VLOOKUP($A23,'2 Bridges Relay'!$F$2:$F$67,1,FALSE)),0,VLOOKUP($A23,'2 Bridges Relay'!$F$2:$J$67,5,FALSE))</f>
        <v>60</v>
      </c>
      <c r="G23" s="217">
        <f>IF(ISNA(VLOOKUP($A23,'5M''s'!$D$2:$E$27,1,FALSE)),0,VLOOKUP($A23,'5M''s'!$D$2:$E$27,2,FALSE))</f>
        <v>100</v>
      </c>
      <c r="H23" s="62">
        <f>IF(ISNA(VLOOKUP($A23,'Mile handicap'!$C$2:$C$51,1,FALSE)),0,VLOOKUP($A23,'Mile handicap'!$C$2:$K$51,9,FALSE))</f>
        <v>12.2</v>
      </c>
      <c r="I23" s="62">
        <f>IF(ISNA(VLOOKUP($A23,'5000m handicap'!$C$2:$C$46,1,FALSE)),0,VLOOKUP($A23,'5000m handicap'!$C$2:$K$46,9,FALSE))</f>
        <v>68.42</v>
      </c>
      <c r="J23" s="62">
        <f>IF(ISNA(VLOOKUP($A23,'KL handicap'!$C$2:$C$37,1,FALSE)),0,VLOOKUP($A23,'KL handicap'!$C$2:$I$37,7,FALSE))</f>
        <v>0</v>
      </c>
      <c r="K23" s="62">
        <f>IF(ISNA(VLOOKUP($A23,'3000m handicap'!$C$2:$C$47,1,FALSE)),0,VLOOKUP($A23,'3000m handicap'!$C$2:$K$47,9,FALSE))</f>
        <v>0</v>
      </c>
      <c r="L23" s="62">
        <f>IF(ISNA(VLOOKUP($A23,'10 km'!$B$2:$B$50,1,FALSE)),0,VLOOKUP($A23,'10 km'!$B$2:$D$50,3,FALSE))</f>
        <v>26.53</v>
      </c>
      <c r="M23" s="62">
        <f>IF(ISNA(VLOOKUP($A23,'Peter Moor 2000m'!$C$2:$C$30,1,FALSE)),0,VLOOKUP($A23,'Peter Moor 2000m'!$C$2:$I$30,7,FALSE))</f>
        <v>0</v>
      </c>
      <c r="N23" s="62">
        <f>IF(ISNA(VLOOKUP($A23,'Max Howard Tan handicap'!$C$2:$C$23,1,FALSE)),0,VLOOKUP($A23,'Max Howard Tan handicap'!$C$2:$I$23,7,FALSE))</f>
        <v>0</v>
      </c>
      <c r="O23" s="88">
        <f>IF(ISNA(VLOOKUP($A23,parkrun!$B$2:$H$145,1,FALSE)),0,VLOOKUP($A23,parkrun!$B$2:$H$145,7,FALSE))</f>
        <v>70.83</v>
      </c>
      <c r="P23" s="133">
        <f>SUM(F23:O23)</f>
        <v>337.97999999999996</v>
      </c>
      <c r="Q23" s="134">
        <f>COUNTIF(F23:O23,"&gt;0")</f>
        <v>6</v>
      </c>
      <c r="R23" s="215">
        <f>SMALL(F23:O23,1)+SMALL(F23:O23,2)</f>
        <v>0</v>
      </c>
      <c r="S23" s="215">
        <f>IF(Q23=1,P23,P23-R23)</f>
        <v>337.97999999999996</v>
      </c>
      <c r="T23" s="216">
        <f>RANK(P23,$P$5:$P$230,0)</f>
        <v>19</v>
      </c>
      <c r="U23" s="26">
        <f>RANK(S23,$S$5:$S$230,0)</f>
        <v>19</v>
      </c>
      <c r="W23" s="113">
        <v>27614</v>
      </c>
      <c r="X23" s="58"/>
      <c r="Y23" s="44"/>
      <c r="AD23" s="44"/>
    </row>
    <row r="24" spans="1:30" x14ac:dyDescent="0.2">
      <c r="A24" s="38" t="s">
        <v>325</v>
      </c>
      <c r="B24" s="81">
        <v>272</v>
      </c>
      <c r="C24" s="81" t="s">
        <v>233</v>
      </c>
      <c r="D24" s="146">
        <v>28215</v>
      </c>
      <c r="E24" s="81" t="s">
        <v>214</v>
      </c>
      <c r="F24" s="61">
        <f>IF(ISNA(VLOOKUP($A24,'2 Bridges Relay'!$F$2:$F$67,1,FALSE)),0,VLOOKUP($A24,'2 Bridges Relay'!$F$2:$J$67,5,FALSE))</f>
        <v>86.67</v>
      </c>
      <c r="G24" s="88">
        <f>IF(ISNA(VLOOKUP($A24,'5M''s'!$D$2:$E$27,1,FALSE)),0,VLOOKUP($A24,'5M''s'!$D$2:$E$27,2,FALSE))</f>
        <v>0</v>
      </c>
      <c r="H24" s="62">
        <f>IF(ISNA(VLOOKUP($A24,'Mile handicap'!$C$2:$C$51,1,FALSE)),0,VLOOKUP($A24,'Mile handicap'!$C$2:$K$51,9,FALSE))</f>
        <v>65.849999999999994</v>
      </c>
      <c r="I24" s="62">
        <f>IF(ISNA(VLOOKUP($A24,'5000m handicap'!$C$2:$C$46,1,FALSE)),0,VLOOKUP($A24,'5000m handicap'!$C$2:$K$46,9,FALSE))</f>
        <v>84.21</v>
      </c>
      <c r="J24" s="62">
        <f>IF(ISNA(VLOOKUP($A24,'KL handicap'!$C$2:$C$37,1,FALSE)),0,VLOOKUP($A24,'KL handicap'!$C$2:$I$37,7,FALSE))</f>
        <v>64.290000000000006</v>
      </c>
      <c r="K24" s="62">
        <f>IF(ISNA(VLOOKUP($A24,'3000m handicap'!$C$2:$C$47,1,FALSE)),0,VLOOKUP($A24,'3000m handicap'!$C$2:$K$47,9,FALSE))</f>
        <v>0</v>
      </c>
      <c r="L24" s="62">
        <f>IF(ISNA(VLOOKUP($A24,'10 km'!$B$2:$B$50,1,FALSE)),0,VLOOKUP($A24,'10 km'!$B$2:$D$50,3,FALSE))</f>
        <v>0</v>
      </c>
      <c r="M24" s="62">
        <f>IF(ISNA(VLOOKUP($A24,'Peter Moor 2000m'!$C$2:$C$30,1,FALSE)),0,VLOOKUP($A24,'Peter Moor 2000m'!$C$2:$I$30,7,FALSE))</f>
        <v>0</v>
      </c>
      <c r="N24" s="62">
        <f>IF(ISNA(VLOOKUP($A24,'Max Howard Tan handicap'!$C$2:$C$23,1,FALSE)),0,VLOOKUP($A24,'Max Howard Tan handicap'!$C$2:$I$23,7,FALSE))</f>
        <v>0</v>
      </c>
      <c r="O24" s="88">
        <f>IF(ISNA(VLOOKUP($A24,parkrun!$B$2:$H$145,1,FALSE)),0,VLOOKUP($A24,parkrun!$B$2:$H$145,7,FALSE))</f>
        <v>27.78</v>
      </c>
      <c r="P24" s="133">
        <f>SUM(F24:O24)</f>
        <v>328.79999999999995</v>
      </c>
      <c r="Q24" s="134">
        <f>COUNTIF(F24:O24,"&gt;0")</f>
        <v>5</v>
      </c>
      <c r="R24" s="215">
        <f>SMALL(F24:O24,1)+SMALL(F24:O24,2)</f>
        <v>0</v>
      </c>
      <c r="S24" s="215">
        <f>IF(Q24=1,P24,P24-R24)</f>
        <v>328.79999999999995</v>
      </c>
      <c r="T24" s="216">
        <f>RANK(P24,$P$5:$P$230,0)</f>
        <v>20</v>
      </c>
      <c r="U24" s="26">
        <f>RANK(S24,$S$5:$S$230,0)</f>
        <v>20</v>
      </c>
      <c r="W24" s="113">
        <v>30631</v>
      </c>
      <c r="X24" s="58"/>
      <c r="Y24" s="44"/>
      <c r="AD24" s="44"/>
    </row>
    <row r="25" spans="1:30" x14ac:dyDescent="0.2">
      <c r="A25" s="38" t="s">
        <v>69</v>
      </c>
      <c r="B25" s="81">
        <v>101</v>
      </c>
      <c r="C25" s="81" t="s">
        <v>233</v>
      </c>
      <c r="D25" s="146">
        <v>25984</v>
      </c>
      <c r="E25" s="81" t="s">
        <v>214</v>
      </c>
      <c r="F25" s="61">
        <f>IF(ISNA(VLOOKUP($A25,'2 Bridges Relay'!$F$2:$F$67,1,FALSE)),0,VLOOKUP($A25,'2 Bridges Relay'!$F$2:$J$67,5,FALSE))</f>
        <v>60</v>
      </c>
      <c r="G25" s="217">
        <f>IF(ISNA(VLOOKUP($A25,'5M''s'!$D$2:$E$27,1,FALSE)),0,VLOOKUP($A25,'5M''s'!$D$2:$E$27,2,FALSE))</f>
        <v>100</v>
      </c>
      <c r="H25" s="88">
        <f>IF(ISNA(VLOOKUP($A25,'Mile handicap'!$C$2:$C$51,1,FALSE)),0,VLOOKUP($A25,'Mile handicap'!$C$2:$K$51,9,FALSE))</f>
        <v>0</v>
      </c>
      <c r="I25" s="62">
        <f>IF(ISNA(VLOOKUP($A25,'5000m handicap'!$C$2:$C$46,1,FALSE)),0,VLOOKUP($A25,'5000m handicap'!$C$2:$K$46,9,FALSE))</f>
        <v>55.26</v>
      </c>
      <c r="J25" s="62">
        <f>IF(ISNA(VLOOKUP($A25,'KL handicap'!$C$2:$C$37,1,FALSE)),0,VLOOKUP($A25,'KL handicap'!$C$2:$I$37,7,FALSE))</f>
        <v>0</v>
      </c>
      <c r="K25" s="62">
        <f>IF(ISNA(VLOOKUP($A25,'3000m handicap'!$C$2:$C$47,1,FALSE)),0,VLOOKUP($A25,'3000m handicap'!$C$2:$K$47,9,FALSE))</f>
        <v>44.44</v>
      </c>
      <c r="L25" s="62">
        <f>IF(ISNA(VLOOKUP($A25,'10 km'!$B$2:$B$50,1,FALSE)),0,VLOOKUP($A25,'10 km'!$B$2:$D$50,3,FALSE))</f>
        <v>20.41</v>
      </c>
      <c r="M25" s="62">
        <f>IF(ISNA(VLOOKUP($A25,'Peter Moor 2000m'!$C$2:$C$30,1,FALSE)),0,VLOOKUP($A25,'Peter Moor 2000m'!$C$2:$I$30,7,FALSE))</f>
        <v>0</v>
      </c>
      <c r="N25" s="62">
        <f>IF(ISNA(VLOOKUP($A25,'Max Howard Tan handicap'!$C$2:$C$23,1,FALSE)),0,VLOOKUP($A25,'Max Howard Tan handicap'!$C$2:$I$23,7,FALSE))</f>
        <v>0</v>
      </c>
      <c r="O25" s="88">
        <f>IF(ISNA(VLOOKUP($A25,parkrun!$B$2:$H$145,1,FALSE)),0,VLOOKUP($A25,parkrun!$B$2:$H$145,7,FALSE))</f>
        <v>41.67</v>
      </c>
      <c r="P25" s="133">
        <f>SUM(F25:O25)</f>
        <v>321.78000000000003</v>
      </c>
      <c r="Q25" s="134">
        <f>COUNTIF(F25:O25,"&gt;0")</f>
        <v>6</v>
      </c>
      <c r="R25" s="215">
        <f>SMALL(F25:O25,1)+SMALL(F25:O25,2)</f>
        <v>0</v>
      </c>
      <c r="S25" s="215">
        <f>IF(Q25=1,P25,P25-R25)</f>
        <v>321.78000000000003</v>
      </c>
      <c r="T25" s="216">
        <f>RANK(P25,$P$5:$P$230,0)</f>
        <v>21</v>
      </c>
      <c r="U25" s="26">
        <f>RANK(S25,$S$5:$S$230,0)</f>
        <v>21</v>
      </c>
      <c r="W25" s="113">
        <v>24230</v>
      </c>
      <c r="X25" s="58"/>
      <c r="Y25" s="44"/>
      <c r="AD25" s="44"/>
    </row>
    <row r="26" spans="1:30" x14ac:dyDescent="0.2">
      <c r="A26" s="38" t="s">
        <v>76</v>
      </c>
      <c r="B26" s="81">
        <v>48</v>
      </c>
      <c r="C26" s="81" t="s">
        <v>233</v>
      </c>
      <c r="D26" s="146">
        <v>25937</v>
      </c>
      <c r="E26" s="81" t="s">
        <v>214</v>
      </c>
      <c r="F26" s="61">
        <f>IF(ISNA(VLOOKUP($A26,'2 Bridges Relay'!$F$2:$F$67,1,FALSE)),0,VLOOKUP($A26,'2 Bridges Relay'!$F$2:$J$67,5,FALSE))</f>
        <v>0</v>
      </c>
      <c r="G26" s="88">
        <f>IF(ISNA(VLOOKUP($A26,'5M''s'!$D$2:$E$27,1,FALSE)),0,VLOOKUP($A26,'5M''s'!$D$2:$E$27,2,FALSE))</f>
        <v>80</v>
      </c>
      <c r="H26" s="62">
        <f>IF(ISNA(VLOOKUP($A26,'Mile handicap'!$C$2:$C$51,1,FALSE)),0,VLOOKUP($A26,'Mile handicap'!$C$2:$K$51,9,FALSE))</f>
        <v>39.020000000000003</v>
      </c>
      <c r="I26" s="62">
        <f>IF(ISNA(VLOOKUP($A26,'5000m handicap'!$C$2:$C$46,1,FALSE)),0,VLOOKUP($A26,'5000m handicap'!$C$2:$K$46,9,FALSE))</f>
        <v>86.84</v>
      </c>
      <c r="J26" s="62">
        <f>IF(ISNA(VLOOKUP($A26,'KL handicap'!$C$2:$C$37,1,FALSE)),0,VLOOKUP($A26,'KL handicap'!$C$2:$I$37,7,FALSE))</f>
        <v>0</v>
      </c>
      <c r="K26" s="62">
        <f>IF(ISNA(VLOOKUP($A26,'3000m handicap'!$C$2:$C$47,1,FALSE)),0,VLOOKUP($A26,'3000m handicap'!$C$2:$K$47,9,FALSE))</f>
        <v>25</v>
      </c>
      <c r="L26" s="62">
        <f>IF(ISNA(VLOOKUP($A26,'10 km'!$B$2:$B$50,1,FALSE)),0,VLOOKUP($A26,'10 km'!$B$2:$D$50,3,FALSE))</f>
        <v>0</v>
      </c>
      <c r="M26" s="62">
        <f>IF(ISNA(VLOOKUP($A26,'Peter Moor 2000m'!$C$2:$C$30,1,FALSE)),0,VLOOKUP($A26,'Peter Moor 2000m'!$C$2:$I$30,7,FALSE))</f>
        <v>0</v>
      </c>
      <c r="N26" s="62">
        <f>IF(ISNA(VLOOKUP($A26,'Max Howard Tan handicap'!$C$2:$C$23,1,FALSE)),0,VLOOKUP($A26,'Max Howard Tan handicap'!$C$2:$I$23,7,FALSE))</f>
        <v>0</v>
      </c>
      <c r="O26" s="88">
        <f>IF(ISNA(VLOOKUP($A26,parkrun!$B$2:$H$145,1,FALSE)),0,VLOOKUP($A26,parkrun!$B$2:$H$145,7,FALSE))</f>
        <v>75</v>
      </c>
      <c r="P26" s="133">
        <f>SUM(F26:O26)</f>
        <v>305.86</v>
      </c>
      <c r="Q26" s="134">
        <f>COUNTIF(F26:O26,"&gt;0")</f>
        <v>5</v>
      </c>
      <c r="R26" s="215">
        <f>SMALL(F26:O26,1)+SMALL(F26:O26,2)</f>
        <v>0</v>
      </c>
      <c r="S26" s="215">
        <f>IF(Q26=1,P26,P26-R26)</f>
        <v>305.86</v>
      </c>
      <c r="T26" s="216">
        <f>RANK(P26,$P$5:$P$230,0)</f>
        <v>22</v>
      </c>
      <c r="U26" s="26">
        <f>RANK(S26,$S$5:$S$230,0)</f>
        <v>22</v>
      </c>
      <c r="W26" s="113">
        <v>27521</v>
      </c>
      <c r="X26" s="58"/>
      <c r="Y26" s="44"/>
      <c r="AD26" s="44"/>
    </row>
    <row r="27" spans="1:30" x14ac:dyDescent="0.2">
      <c r="A27" s="38" t="s">
        <v>55</v>
      </c>
      <c r="B27" s="81">
        <v>54</v>
      </c>
      <c r="C27" s="81" t="s">
        <v>233</v>
      </c>
      <c r="D27" s="146">
        <v>25581</v>
      </c>
      <c r="E27" s="81" t="s">
        <v>214</v>
      </c>
      <c r="F27" s="61">
        <f>IF(ISNA(VLOOKUP($A27,'2 Bridges Relay'!$F$2:$F$67,1,FALSE)),0,VLOOKUP($A27,'2 Bridges Relay'!$F$2:$J$67,5,FALSE))</f>
        <v>63.33</v>
      </c>
      <c r="G27" s="88">
        <f>IF(ISNA(VLOOKUP($A27,'5M''s'!$D$2:$E$27,1,FALSE)),0,VLOOKUP($A27,'5M''s'!$D$2:$E$27,2,FALSE))</f>
        <v>70</v>
      </c>
      <c r="H27" s="62">
        <f>IF(ISNA(VLOOKUP($A27,'Mile handicap'!$C$2:$C$51,1,FALSE)),0,VLOOKUP($A27,'Mile handicap'!$C$2:$K$51,9,FALSE))</f>
        <v>4.88</v>
      </c>
      <c r="I27" s="62">
        <f>IF(ISNA(VLOOKUP($A27,'5000m handicap'!$C$2:$C$46,1,FALSE)),0,VLOOKUP($A27,'5000m handicap'!$C$2:$K$46,9,FALSE))</f>
        <v>39.47</v>
      </c>
      <c r="J27" s="62">
        <f>IF(ISNA(VLOOKUP($A27,'KL handicap'!$C$2:$C$37,1,FALSE)),0,VLOOKUP($A27,'KL handicap'!$C$2:$I$37,7,FALSE))</f>
        <v>0</v>
      </c>
      <c r="K27" s="62">
        <f>IF(ISNA(VLOOKUP($A27,'3000m handicap'!$C$2:$C$47,1,FALSE)),0,VLOOKUP($A27,'3000m handicap'!$C$2:$K$47,9,FALSE))</f>
        <v>38.89</v>
      </c>
      <c r="L27" s="62">
        <f>IF(ISNA(VLOOKUP($A27,'10 km'!$B$2:$B$50,1,FALSE)),0,VLOOKUP($A27,'10 km'!$B$2:$D$50,3,FALSE))</f>
        <v>42.86</v>
      </c>
      <c r="M27" s="62">
        <f>IF(ISNA(VLOOKUP($A27,'Peter Moor 2000m'!$C$2:$C$30,1,FALSE)),0,VLOOKUP($A27,'Peter Moor 2000m'!$C$2:$I$30,7,FALSE))</f>
        <v>0</v>
      </c>
      <c r="N27" s="62">
        <f>IF(ISNA(VLOOKUP($A27,'Max Howard Tan handicap'!$C$2:$C$23,1,FALSE)),0,VLOOKUP($A27,'Max Howard Tan handicap'!$C$2:$I$23,7,FALSE))</f>
        <v>0</v>
      </c>
      <c r="O27" s="88">
        <f>IF(ISNA(VLOOKUP($A27,parkrun!$B$2:$H$145,1,FALSE)),0,VLOOKUP($A27,parkrun!$B$2:$H$145,7,FALSE))</f>
        <v>44.44</v>
      </c>
      <c r="P27" s="133">
        <f>SUM(F27:O27)</f>
        <v>303.87</v>
      </c>
      <c r="Q27" s="134">
        <f>COUNTIF(F27:O27,"&gt;0")</f>
        <v>7</v>
      </c>
      <c r="R27" s="215">
        <f>SMALL(F27:O27,1)+SMALL(F27:O27,2)</f>
        <v>0</v>
      </c>
      <c r="S27" s="215">
        <f>IF(Q27=1,P27,P27-R27)</f>
        <v>303.87</v>
      </c>
      <c r="T27" s="216">
        <f>RANK(P27,$P$5:$P$230,0)</f>
        <v>23</v>
      </c>
      <c r="U27" s="26">
        <f>RANK(S27,$S$5:$S$230,0)</f>
        <v>23</v>
      </c>
      <c r="W27" s="113">
        <v>27362</v>
      </c>
      <c r="X27" s="58"/>
      <c r="Y27" s="44"/>
      <c r="AD27" s="44"/>
    </row>
    <row r="28" spans="1:30" x14ac:dyDescent="0.2">
      <c r="A28" s="38" t="s">
        <v>67</v>
      </c>
      <c r="B28" s="81">
        <v>75</v>
      </c>
      <c r="C28" s="81" t="s">
        <v>233</v>
      </c>
      <c r="D28" s="146">
        <v>27344</v>
      </c>
      <c r="E28" s="81" t="s">
        <v>214</v>
      </c>
      <c r="F28" s="61">
        <f>IF(ISNA(VLOOKUP($A28,'2 Bridges Relay'!$F$2:$F$67,1,FALSE)),0,VLOOKUP($A28,'2 Bridges Relay'!$F$2:$J$67,5,FALSE))</f>
        <v>70</v>
      </c>
      <c r="G28" s="88">
        <f>IF(ISNA(VLOOKUP($A28,'5M''s'!$D$2:$E$27,1,FALSE)),0,VLOOKUP($A28,'5M''s'!$D$2:$E$27,2,FALSE))</f>
        <v>60</v>
      </c>
      <c r="H28" s="62">
        <f>IF(ISNA(VLOOKUP($A28,'Mile handicap'!$C$2:$C$51,1,FALSE)),0,VLOOKUP($A28,'Mile handicap'!$C$2:$K$51,9,FALSE))</f>
        <v>34.15</v>
      </c>
      <c r="I28" s="62">
        <f>IF(ISNA(VLOOKUP($A28,'5000m handicap'!$C$2:$C$46,1,FALSE)),0,VLOOKUP($A28,'5000m handicap'!$C$2:$K$46,9,FALSE))</f>
        <v>13.16</v>
      </c>
      <c r="J28" s="223">
        <f>IF(ISNA(VLOOKUP($A28,'KL handicap'!$C$2:$C$37,1,FALSE)),0,VLOOKUP($A28,'KL handicap'!$C$2:$I$37,7,FALSE))</f>
        <v>60.71</v>
      </c>
      <c r="K28" s="62">
        <f>IF(ISNA(VLOOKUP($A28,'3000m handicap'!$C$2:$C$47,1,FALSE)),0,VLOOKUP($A28,'3000m handicap'!$C$2:$K$47,9,FALSE))</f>
        <v>41.67</v>
      </c>
      <c r="L28" s="62">
        <f>IF(ISNA(VLOOKUP($A28,'10 km'!$B$2:$B$50,1,FALSE)),0,VLOOKUP($A28,'10 km'!$B$2:$D$50,3,FALSE))</f>
        <v>0</v>
      </c>
      <c r="M28" s="62">
        <f>IF(ISNA(VLOOKUP($A28,'Peter Moor 2000m'!$C$2:$C$30,1,FALSE)),0,VLOOKUP($A28,'Peter Moor 2000m'!$C$2:$I$30,7,FALSE))</f>
        <v>0</v>
      </c>
      <c r="N28" s="62">
        <f>IF(ISNA(VLOOKUP($A28,'Max Howard Tan handicap'!$C$2:$C$23,1,FALSE)),0,VLOOKUP($A28,'Max Howard Tan handicap'!$C$2:$I$23,7,FALSE))</f>
        <v>0</v>
      </c>
      <c r="O28" s="88">
        <f>IF(ISNA(VLOOKUP($A28,parkrun!$B$2:$H$145,1,FALSE)),0,VLOOKUP($A28,parkrun!$B$2:$H$145,7,FALSE))</f>
        <v>18.75</v>
      </c>
      <c r="P28" s="133">
        <f>SUM(F28:O28)</f>
        <v>298.44</v>
      </c>
      <c r="Q28" s="134">
        <f>COUNTIF(F28:O28,"&gt;0")</f>
        <v>7</v>
      </c>
      <c r="R28" s="215">
        <f>SMALL(F28:O28,1)+SMALL(F28:O28,2)</f>
        <v>0</v>
      </c>
      <c r="S28" s="215">
        <f>IF(Q28=1,P28,P28-R28)</f>
        <v>298.44</v>
      </c>
      <c r="T28" s="216">
        <f>RANK(P28,$P$5:$P$230,0)</f>
        <v>24</v>
      </c>
      <c r="U28" s="26">
        <f>RANK(S28,$S$5:$S$230,0)</f>
        <v>24</v>
      </c>
      <c r="W28" s="113">
        <v>20975</v>
      </c>
      <c r="X28" s="58"/>
      <c r="Y28" s="44"/>
      <c r="AD28" s="44"/>
    </row>
    <row r="29" spans="1:30" x14ac:dyDescent="0.2">
      <c r="A29" s="38" t="s">
        <v>80</v>
      </c>
      <c r="B29" s="81">
        <v>68</v>
      </c>
      <c r="C29" s="81" t="s">
        <v>233</v>
      </c>
      <c r="D29" s="146">
        <v>29907</v>
      </c>
      <c r="E29" s="81" t="s">
        <v>214</v>
      </c>
      <c r="F29" s="61">
        <f>IF(ISNA(VLOOKUP($A29,'2 Bridges Relay'!$F$2:$F$67,1,FALSE)),0,VLOOKUP($A29,'2 Bridges Relay'!$F$2:$J$67,5,FALSE))</f>
        <v>80</v>
      </c>
      <c r="G29" s="88">
        <f>IF(ISNA(VLOOKUP($A29,'5M''s'!$D$2:$E$27,1,FALSE)),0,VLOOKUP($A29,'5M''s'!$D$2:$E$27,2,FALSE))</f>
        <v>80</v>
      </c>
      <c r="H29" s="62">
        <f>IF(ISNA(VLOOKUP($A29,'Mile handicap'!$C$2:$C$51,1,FALSE)),0,VLOOKUP($A29,'Mile handicap'!$C$2:$K$51,9,FALSE))</f>
        <v>46.34</v>
      </c>
      <c r="I29" s="62">
        <f>IF(ISNA(VLOOKUP($A29,'5000m handicap'!$C$2:$C$46,1,FALSE)),0,VLOOKUP($A29,'5000m handicap'!$C$2:$K$46,9,FALSE))</f>
        <v>0</v>
      </c>
      <c r="J29" s="62">
        <f>IF(ISNA(VLOOKUP($A29,'KL handicap'!$C$2:$C$37,1,FALSE)),0,VLOOKUP($A29,'KL handicap'!$C$2:$I$37,7,FALSE))</f>
        <v>0</v>
      </c>
      <c r="K29" s="62">
        <f>IF(ISNA(VLOOKUP($A29,'3000m handicap'!$C$2:$C$47,1,FALSE)),0,VLOOKUP($A29,'3000m handicap'!$C$2:$K$47,9,FALSE))</f>
        <v>19.440000000000001</v>
      </c>
      <c r="L29" s="62">
        <f>IF(ISNA(VLOOKUP($A29,'10 km'!$B$2:$B$50,1,FALSE)),0,VLOOKUP($A29,'10 km'!$B$2:$D$50,3,FALSE))</f>
        <v>34.69</v>
      </c>
      <c r="M29" s="62">
        <f>IF(ISNA(VLOOKUP($A29,'Peter Moor 2000m'!$C$2:$C$30,1,FALSE)),0,VLOOKUP($A29,'Peter Moor 2000m'!$C$2:$I$30,7,FALSE))</f>
        <v>0</v>
      </c>
      <c r="N29" s="62">
        <f>IF(ISNA(VLOOKUP($A29,'Max Howard Tan handicap'!$C$2:$C$23,1,FALSE)),0,VLOOKUP($A29,'Max Howard Tan handicap'!$C$2:$I$23,7,FALSE))</f>
        <v>0</v>
      </c>
      <c r="O29" s="88">
        <f>IF(ISNA(VLOOKUP($A29,parkrun!$B$2:$H$145,1,FALSE)),0,VLOOKUP($A29,parkrun!$B$2:$H$145,7,FALSE))</f>
        <v>20.14</v>
      </c>
      <c r="P29" s="133">
        <f>SUM(F29:O29)</f>
        <v>280.61</v>
      </c>
      <c r="Q29" s="134">
        <f>COUNTIF(F29:O29,"&gt;0")</f>
        <v>6</v>
      </c>
      <c r="R29" s="215">
        <f>SMALL(F29:O29,1)+SMALL(F29:O29,2)</f>
        <v>0</v>
      </c>
      <c r="S29" s="215">
        <f>IF(Q29=1,P29,P29-R29)</f>
        <v>280.61</v>
      </c>
      <c r="T29" s="216">
        <f>RANK(P29,$P$5:$P$230,0)</f>
        <v>25</v>
      </c>
      <c r="U29" s="26">
        <f>RANK(S29,$S$5:$S$230,0)</f>
        <v>25</v>
      </c>
      <c r="W29" s="113">
        <v>26892</v>
      </c>
      <c r="X29" s="58"/>
      <c r="Y29" s="44"/>
      <c r="AD29" s="44"/>
    </row>
    <row r="30" spans="1:30" x14ac:dyDescent="0.2">
      <c r="A30" s="38" t="s">
        <v>91</v>
      </c>
      <c r="B30" s="81">
        <v>99</v>
      </c>
      <c r="C30" s="81" t="s">
        <v>233</v>
      </c>
      <c r="D30" s="146">
        <v>27190</v>
      </c>
      <c r="E30" s="81" t="s">
        <v>214</v>
      </c>
      <c r="F30" s="61">
        <f>IF(ISNA(VLOOKUP($A30,'2 Bridges Relay'!$F$2:$F$67,1,FALSE)),0,VLOOKUP($A30,'2 Bridges Relay'!$F$2:$J$67,5,FALSE))</f>
        <v>56.67</v>
      </c>
      <c r="G30" s="88">
        <f>IF(ISNA(VLOOKUP($A30,'5M''s'!$D$2:$E$27,1,FALSE)),0,VLOOKUP($A30,'5M''s'!$D$2:$E$27,2,FALSE))</f>
        <v>90</v>
      </c>
      <c r="H30" s="62">
        <f>IF(ISNA(VLOOKUP($A30,'Mile handicap'!$C$2:$C$51,1,FALSE)),0,VLOOKUP($A30,'Mile handicap'!$C$2:$K$51,9,FALSE))</f>
        <v>9.76</v>
      </c>
      <c r="I30" s="62">
        <f>IF(ISNA(VLOOKUP($A30,'5000m handicap'!$C$2:$C$46,1,FALSE)),0,VLOOKUP($A30,'5000m handicap'!$C$2:$K$46,9,FALSE))</f>
        <v>21.05</v>
      </c>
      <c r="J30" s="218">
        <f>IF(ISNA(VLOOKUP($A30,'KL handicap'!$C$2:$C$37,1,FALSE)),0,VLOOKUP($A30,'KL handicap'!$C$2:$I$37,7,FALSE))</f>
        <v>60.71</v>
      </c>
      <c r="K30" s="62">
        <f>IF(ISNA(VLOOKUP($A30,'3000m handicap'!$C$2:$C$47,1,FALSE)),0,VLOOKUP($A30,'3000m handicap'!$C$2:$K$47,9,FALSE))</f>
        <v>0</v>
      </c>
      <c r="L30" s="62">
        <f>IF(ISNA(VLOOKUP($A30,'10 km'!$B$2:$B$50,1,FALSE)),0,VLOOKUP($A30,'10 km'!$B$2:$D$50,3,FALSE))</f>
        <v>4.08</v>
      </c>
      <c r="M30" s="62">
        <f>IF(ISNA(VLOOKUP($A30,'Peter Moor 2000m'!$C$2:$C$30,1,FALSE)),0,VLOOKUP($A30,'Peter Moor 2000m'!$C$2:$I$30,7,FALSE))</f>
        <v>0</v>
      </c>
      <c r="N30" s="62">
        <f>IF(ISNA(VLOOKUP($A30,'Max Howard Tan handicap'!$C$2:$C$23,1,FALSE)),0,VLOOKUP($A30,'Max Howard Tan handicap'!$C$2:$I$23,7,FALSE))</f>
        <v>0</v>
      </c>
      <c r="O30" s="88">
        <f>IF(ISNA(VLOOKUP($A30,parkrun!$B$2:$H$145,1,FALSE)),0,VLOOKUP($A30,parkrun!$B$2:$H$145,7,FALSE))</f>
        <v>30.56</v>
      </c>
      <c r="P30" s="133">
        <f>SUM(F30:O30)</f>
        <v>272.83000000000004</v>
      </c>
      <c r="Q30" s="134">
        <f>COUNTIF(F30:O30,"&gt;0")</f>
        <v>7</v>
      </c>
      <c r="R30" s="215">
        <f>SMALL(F30:O30,1)+SMALL(F30:O30,2)</f>
        <v>0</v>
      </c>
      <c r="S30" s="215">
        <f>IF(Q30=1,P30,P30-R30)</f>
        <v>272.83000000000004</v>
      </c>
      <c r="T30" s="216">
        <f>RANK(P30,$P$5:$P$230,0)</f>
        <v>26</v>
      </c>
      <c r="U30" s="26">
        <f>RANK(S30,$S$5:$S$230,0)</f>
        <v>26</v>
      </c>
      <c r="W30" s="113">
        <v>27260</v>
      </c>
      <c r="X30" s="58"/>
      <c r="Y30" s="44"/>
      <c r="AD30" s="44"/>
    </row>
    <row r="31" spans="1:30" x14ac:dyDescent="0.2">
      <c r="A31" s="38" t="s">
        <v>258</v>
      </c>
      <c r="B31" s="81">
        <v>41</v>
      </c>
      <c r="C31" s="81" t="s">
        <v>233</v>
      </c>
      <c r="D31" s="146">
        <v>27236</v>
      </c>
      <c r="E31" s="81" t="s">
        <v>214</v>
      </c>
      <c r="F31" s="61">
        <f>IF(ISNA(VLOOKUP($A31,'2 Bridges Relay'!$F$2:$F$67,1,FALSE)),0,VLOOKUP($A31,'2 Bridges Relay'!$F$2:$J$67,5,FALSE))</f>
        <v>0</v>
      </c>
      <c r="G31" s="88">
        <f>IF(ISNA(VLOOKUP($A31,'5M''s'!$D$2:$E$27,1,FALSE)),0,VLOOKUP($A31,'5M''s'!$D$2:$E$27,2,FALSE))</f>
        <v>0</v>
      </c>
      <c r="H31" s="62">
        <f>IF(ISNA(VLOOKUP($A31,'Mile handicap'!$C$2:$C$51,1,FALSE)),0,VLOOKUP($A31,'Mile handicap'!$C$2:$K$51,9,FALSE))</f>
        <v>60.98</v>
      </c>
      <c r="I31" s="62">
        <f>IF(ISNA(VLOOKUP($A31,'5000m handicap'!$C$2:$C$46,1,FALSE)),0,VLOOKUP($A31,'5000m handicap'!$C$2:$K$46,9,FALSE))</f>
        <v>0</v>
      </c>
      <c r="J31" s="62">
        <f>IF(ISNA(VLOOKUP($A31,'KL handicap'!$C$2:$C$37,1,FALSE)),0,VLOOKUP($A31,'KL handicap'!$C$2:$I$37,7,FALSE))</f>
        <v>57.14</v>
      </c>
      <c r="K31" s="62">
        <f>IF(ISNA(VLOOKUP($A31,'3000m handicap'!$C$2:$C$47,1,FALSE)),0,VLOOKUP($A31,'3000m handicap'!$C$2:$K$47,9,FALSE))</f>
        <v>88.89</v>
      </c>
      <c r="L31" s="62">
        <f>IF(ISNA(VLOOKUP($A31,'10 km'!$B$2:$B$50,1,FALSE)),0,VLOOKUP($A31,'10 km'!$B$2:$D$50,3,FALSE))</f>
        <v>0</v>
      </c>
      <c r="M31" s="62">
        <f>IF(ISNA(VLOOKUP($A31,'Peter Moor 2000m'!$C$2:$C$30,1,FALSE)),0,VLOOKUP($A31,'Peter Moor 2000m'!$C$2:$I$30,7,FALSE))</f>
        <v>27.27</v>
      </c>
      <c r="N31" s="62">
        <f>IF(ISNA(VLOOKUP($A31,'Max Howard Tan handicap'!$C$2:$C$23,1,FALSE)),0,VLOOKUP($A31,'Max Howard Tan handicap'!$C$2:$I$23,7,FALSE))</f>
        <v>0</v>
      </c>
      <c r="O31" s="88">
        <f>IF(ISNA(VLOOKUP($A31,parkrun!$B$2:$H$145,1,FALSE)),0,VLOOKUP($A31,parkrun!$B$2:$H$145,7,FALSE))</f>
        <v>34.72</v>
      </c>
      <c r="P31" s="133">
        <f>SUM(F31:O31)</f>
        <v>269</v>
      </c>
      <c r="Q31" s="134">
        <f>COUNTIF(F31:O31,"&gt;0")</f>
        <v>5</v>
      </c>
      <c r="R31" s="215">
        <f>SMALL(F31:O31,1)+SMALL(F31:O31,2)</f>
        <v>0</v>
      </c>
      <c r="S31" s="215">
        <f>IF(Q31=1,P31,P31-R31)</f>
        <v>269</v>
      </c>
      <c r="T31" s="216">
        <f>RANK(P31,$P$5:$P$230,0)</f>
        <v>27</v>
      </c>
      <c r="U31" s="26">
        <f>RANK(S31,$S$5:$S$230,0)</f>
        <v>27</v>
      </c>
      <c r="W31" s="113">
        <v>22192</v>
      </c>
      <c r="X31" s="58"/>
      <c r="Y31" s="44"/>
      <c r="AD31" s="44"/>
    </row>
    <row r="32" spans="1:30" x14ac:dyDescent="0.2">
      <c r="A32" s="38" t="s">
        <v>37</v>
      </c>
      <c r="B32" s="81">
        <v>9</v>
      </c>
      <c r="C32" s="81" t="s">
        <v>233</v>
      </c>
      <c r="D32" s="146">
        <v>24230</v>
      </c>
      <c r="E32" s="81" t="s">
        <v>196</v>
      </c>
      <c r="F32" s="61">
        <f>IF(ISNA(VLOOKUP($A32,'2 Bridges Relay'!$F$2:$F$67,1,FALSE)),0,VLOOKUP($A32,'2 Bridges Relay'!$F$2:$J$67,5,FALSE))</f>
        <v>93.33</v>
      </c>
      <c r="G32" s="218">
        <f>IF(ISNA(VLOOKUP($A32,'5M''s'!$D$2:$E$27,1,FALSE)),0,VLOOKUP($A32,'5M''s'!$D$2:$E$27,2,FALSE))</f>
        <v>90</v>
      </c>
      <c r="H32" s="62">
        <f>IF(ISNA(VLOOKUP($A32,'Mile handicap'!$C$2:$C$51,1,FALSE)),0,VLOOKUP($A32,'Mile handicap'!$C$2:$K$51,9,FALSE))</f>
        <v>0</v>
      </c>
      <c r="I32" s="62">
        <f>IF(ISNA(VLOOKUP($A32,'5000m handicap'!$C$2:$C$46,1,FALSE)),0,VLOOKUP($A32,'5000m handicap'!$C$2:$K$46,9,FALSE))</f>
        <v>0</v>
      </c>
      <c r="J32" s="62">
        <f>IF(ISNA(VLOOKUP($A32,'KL handicap'!$C$2:$C$37,1,FALSE)),0,VLOOKUP($A32,'KL handicap'!$C$2:$I$37,7,FALSE))</f>
        <v>0</v>
      </c>
      <c r="K32" s="62">
        <f>IF(ISNA(VLOOKUP($A32,'3000m handicap'!$C$2:$C$47,1,FALSE)),0,VLOOKUP($A32,'3000m handicap'!$C$2:$K$47,9,FALSE))</f>
        <v>0</v>
      </c>
      <c r="L32" s="62">
        <f>IF(ISNA(VLOOKUP($A32,'10 km'!$B$2:$B$50,1,FALSE)),0,VLOOKUP($A32,'10 km'!$B$2:$D$50,3,FALSE))</f>
        <v>0</v>
      </c>
      <c r="M32" s="62">
        <f>IF(ISNA(VLOOKUP($A32,'Peter Moor 2000m'!$C$2:$C$30,1,FALSE)),0,VLOOKUP($A32,'Peter Moor 2000m'!$C$2:$I$30,7,FALSE))</f>
        <v>0</v>
      </c>
      <c r="N32" s="62">
        <f>IF(ISNA(VLOOKUP($A32,'Max Howard Tan handicap'!$C$2:$C$23,1,FALSE)),0,VLOOKUP($A32,'Max Howard Tan handicap'!$C$2:$I$23,7,FALSE))</f>
        <v>0</v>
      </c>
      <c r="O32" s="88">
        <f>IF(ISNA(VLOOKUP($A32,parkrun!$B$2:$H$145,1,FALSE)),0,VLOOKUP($A32,parkrun!$B$2:$H$145,7,FALSE))</f>
        <v>78.47</v>
      </c>
      <c r="P32" s="133">
        <f>SUM(F32:O32)</f>
        <v>261.79999999999995</v>
      </c>
      <c r="Q32" s="134">
        <f>COUNTIF(F32:O32,"&gt;0")</f>
        <v>3</v>
      </c>
      <c r="R32" s="215">
        <f>SMALL(F32:O32,1)+SMALL(F32:O32,2)</f>
        <v>0</v>
      </c>
      <c r="S32" s="215">
        <f>IF(Q32=1,P32,P32-R32)</f>
        <v>261.79999999999995</v>
      </c>
      <c r="T32" s="216">
        <f>RANK(P32,$P$5:$P$230,0)</f>
        <v>28</v>
      </c>
      <c r="U32" s="26">
        <f>RANK(S32,$S$5:$S$230,0)</f>
        <v>28</v>
      </c>
      <c r="W32" s="113">
        <v>23372</v>
      </c>
      <c r="X32" s="58"/>
      <c r="Y32" s="44"/>
      <c r="AD32" s="44"/>
    </row>
    <row r="33" spans="1:30" x14ac:dyDescent="0.2">
      <c r="A33" s="38" t="s">
        <v>90</v>
      </c>
      <c r="B33" s="81">
        <v>111</v>
      </c>
      <c r="C33" s="81" t="s">
        <v>233</v>
      </c>
      <c r="D33" s="146">
        <v>28320</v>
      </c>
      <c r="E33" s="81" t="s">
        <v>214</v>
      </c>
      <c r="F33" s="61">
        <f>IF(ISNA(VLOOKUP($A33,'2 Bridges Relay'!$F$2:$F$67,1,FALSE)),0,VLOOKUP($A33,'2 Bridges Relay'!$F$2:$J$67,5,FALSE))</f>
        <v>96.67</v>
      </c>
      <c r="G33" s="88">
        <f>IF(ISNA(VLOOKUP($A33,'5M''s'!$D$2:$E$27,1,FALSE)),0,VLOOKUP($A33,'5M''s'!$D$2:$E$27,2,FALSE))</f>
        <v>0</v>
      </c>
      <c r="H33" s="62">
        <f>IF(ISNA(VLOOKUP($A33,'Mile handicap'!$C$2:$C$51,1,FALSE)),0,VLOOKUP($A33,'Mile handicap'!$C$2:$K$51,9,FALSE))</f>
        <v>0</v>
      </c>
      <c r="I33" s="62">
        <f>IF(ISNA(VLOOKUP($A33,'5000m handicap'!$C$2:$C$46,1,FALSE)),0,VLOOKUP($A33,'5000m handicap'!$C$2:$K$46,9,FALSE))</f>
        <v>31.58</v>
      </c>
      <c r="J33" s="62">
        <f>IF(ISNA(VLOOKUP($A33,'KL handicap'!$C$2:$C$37,1,FALSE)),0,VLOOKUP($A33,'KL handicap'!$C$2:$I$37,7,FALSE))</f>
        <v>7.14</v>
      </c>
      <c r="K33" s="62">
        <f>IF(ISNA(VLOOKUP($A33,'3000m handicap'!$C$2:$C$47,1,FALSE)),0,VLOOKUP($A33,'3000m handicap'!$C$2:$K$47,9,FALSE))</f>
        <v>0</v>
      </c>
      <c r="L33" s="62">
        <f>IF(ISNA(VLOOKUP($A33,'10 km'!$B$2:$B$50,1,FALSE)),0,VLOOKUP($A33,'10 km'!$B$2:$D$50,3,FALSE))</f>
        <v>0</v>
      </c>
      <c r="M33" s="62">
        <f>IF(ISNA(VLOOKUP($A33,'Peter Moor 2000m'!$C$2:$C$30,1,FALSE)),0,VLOOKUP($A33,'Peter Moor 2000m'!$C$2:$I$30,7,FALSE))</f>
        <v>0</v>
      </c>
      <c r="N33" s="224">
        <f>IF(ISNA(VLOOKUP($A33,'Max Howard Tan handicap'!$C$2:$C$23,1,FALSE)),0,VLOOKUP($A33,'Max Howard Tan handicap'!$C$2:$I$23,7,FALSE))</f>
        <v>100</v>
      </c>
      <c r="O33" s="88">
        <f>IF(ISNA(VLOOKUP($A33,parkrun!$B$2:$H$145,1,FALSE)),0,VLOOKUP($A33,parkrun!$B$2:$H$145,7,FALSE))</f>
        <v>24.31</v>
      </c>
      <c r="P33" s="133">
        <f>SUM(F33:O33)</f>
        <v>259.7</v>
      </c>
      <c r="Q33" s="134">
        <f>COUNTIF(F33:O33,"&gt;0")</f>
        <v>5</v>
      </c>
      <c r="R33" s="215">
        <f>SMALL(F33:O33,1)+SMALL(F33:O33,2)</f>
        <v>0</v>
      </c>
      <c r="S33" s="215">
        <f>IF(Q33=1,P33,P33-R33)</f>
        <v>259.7</v>
      </c>
      <c r="T33" s="216">
        <f>RANK(P33,$P$5:$P$230,0)</f>
        <v>29</v>
      </c>
      <c r="U33" s="26">
        <f>RANK(S33,$S$5:$S$230,0)</f>
        <v>29</v>
      </c>
      <c r="W33" s="113">
        <v>29801</v>
      </c>
      <c r="X33" s="58"/>
      <c r="Y33" s="44"/>
      <c r="AD33" s="44"/>
    </row>
    <row r="34" spans="1:30" x14ac:dyDescent="0.2">
      <c r="A34" s="38" t="s">
        <v>436</v>
      </c>
      <c r="B34" s="81">
        <v>317</v>
      </c>
      <c r="C34" s="81" t="s">
        <v>233</v>
      </c>
      <c r="D34" s="146">
        <v>27741</v>
      </c>
      <c r="E34" s="81" t="s">
        <v>214</v>
      </c>
      <c r="F34" s="61">
        <f>IF(ISNA(VLOOKUP($A34,'2 Bridges Relay'!$F$2:$F$67,1,FALSE)),0,VLOOKUP($A34,'2 Bridges Relay'!$F$2:$J$67,5,FALSE))</f>
        <v>0</v>
      </c>
      <c r="G34" s="88">
        <f>IF(ISNA(VLOOKUP($A34,'5M''s'!$D$2:$E$27,1,FALSE)),0,VLOOKUP($A34,'5M''s'!$D$2:$E$27,2,FALSE))</f>
        <v>0</v>
      </c>
      <c r="H34" s="62">
        <f>IF(ISNA(VLOOKUP($A34,'Mile handicap'!$C$2:$C$51,1,FALSE)),0,VLOOKUP($A34,'Mile handicap'!$C$2:$K$51,9,FALSE))</f>
        <v>0</v>
      </c>
      <c r="I34" s="224">
        <f>IF(ISNA(VLOOKUP($A34,'5000m handicap'!$C$2:$C$46,1,FALSE)),0,VLOOKUP($A34,'5000m handicap'!$C$2:$K$46,9,FALSE))</f>
        <v>100</v>
      </c>
      <c r="J34" s="62">
        <f>IF(ISNA(VLOOKUP($A34,'KL handicap'!$C$2:$C$37,1,FALSE)),0,VLOOKUP($A34,'KL handicap'!$C$2:$I$37,7,FALSE))</f>
        <v>50</v>
      </c>
      <c r="K34" s="62">
        <f>IF(ISNA(VLOOKUP($A34,'3000m handicap'!$C$2:$C$47,1,FALSE)),0,VLOOKUP($A34,'3000m handicap'!$C$2:$K$47,9,FALSE))</f>
        <v>61.11</v>
      </c>
      <c r="L34" s="62">
        <f>IF(ISNA(VLOOKUP($A34,'10 km'!$B$2:$B$50,1,FALSE)),0,VLOOKUP($A34,'10 km'!$B$2:$D$50,3,FALSE))</f>
        <v>0</v>
      </c>
      <c r="M34" s="62">
        <f>IF(ISNA(VLOOKUP($A34,'Peter Moor 2000m'!$C$2:$C$30,1,FALSE)),0,VLOOKUP($A34,'Peter Moor 2000m'!$C$2:$I$30,7,FALSE))</f>
        <v>0</v>
      </c>
      <c r="N34" s="62">
        <f>IF(ISNA(VLOOKUP($A34,'Max Howard Tan handicap'!$C$2:$C$23,1,FALSE)),0,VLOOKUP($A34,'Max Howard Tan handicap'!$C$2:$I$23,7,FALSE))</f>
        <v>43.75</v>
      </c>
      <c r="O34" s="88">
        <f>IF(ISNA(VLOOKUP($A34,parkrun!$B$2:$H$145,1,FALSE)),0,VLOOKUP($A34,parkrun!$B$2:$H$145,7,FALSE))</f>
        <v>0</v>
      </c>
      <c r="P34" s="133">
        <f>SUM(F34:O34)</f>
        <v>254.86</v>
      </c>
      <c r="Q34" s="134">
        <f>COUNTIF(F34:O34,"&gt;0")</f>
        <v>4</v>
      </c>
      <c r="R34" s="215">
        <f>SMALL(F34:O34,1)+SMALL(F34:O34,2)</f>
        <v>0</v>
      </c>
      <c r="S34" s="215">
        <f>IF(Q34=1,P34,P34-R34)</f>
        <v>254.86</v>
      </c>
      <c r="T34" s="216">
        <f>RANK(P34,$P$5:$P$230,0)</f>
        <v>30</v>
      </c>
      <c r="U34" s="26">
        <f>RANK(S34,$S$5:$S$230,0)</f>
        <v>30</v>
      </c>
      <c r="W34" s="113">
        <v>32084</v>
      </c>
      <c r="X34" s="58"/>
      <c r="Y34" s="44"/>
      <c r="AD34" s="44"/>
    </row>
    <row r="35" spans="1:30" x14ac:dyDescent="0.2">
      <c r="A35" s="38" t="s">
        <v>197</v>
      </c>
      <c r="B35" s="81">
        <v>214</v>
      </c>
      <c r="C35" s="81" t="s">
        <v>233</v>
      </c>
      <c r="D35" s="146">
        <v>29063</v>
      </c>
      <c r="E35" s="81" t="s">
        <v>214</v>
      </c>
      <c r="F35" s="61">
        <f>IF(ISNA(VLOOKUP($A35,'2 Bridges Relay'!$F$2:$F$67,1,FALSE)),0,VLOOKUP($A35,'2 Bridges Relay'!$F$2:$J$67,5,FALSE))</f>
        <v>0</v>
      </c>
      <c r="G35" s="88">
        <f>IF(ISNA(VLOOKUP($A35,'5M''s'!$D$2:$E$27,1,FALSE)),0,VLOOKUP($A35,'5M''s'!$D$2:$E$27,2,FALSE))</f>
        <v>0</v>
      </c>
      <c r="H35" s="88">
        <f>IF(ISNA(VLOOKUP($A35,'Mile handicap'!$C$2:$C$51,1,FALSE)),0,VLOOKUP($A35,'Mile handicap'!$C$2:$K$51,9,FALSE))</f>
        <v>56.1</v>
      </c>
      <c r="I35" s="62">
        <f>IF(ISNA(VLOOKUP($A35,'5000m handicap'!$C$2:$C$46,1,FALSE)),0,VLOOKUP($A35,'5000m handicap'!$C$2:$K$46,9,FALSE))</f>
        <v>36.840000000000003</v>
      </c>
      <c r="J35" s="62">
        <f>IF(ISNA(VLOOKUP($A35,'KL handicap'!$C$2:$C$37,1,FALSE)),0,VLOOKUP($A35,'KL handicap'!$C$2:$I$37,7,FALSE))</f>
        <v>78.569999999999993</v>
      </c>
      <c r="K35" s="62">
        <f>IF(ISNA(VLOOKUP($A35,'3000m handicap'!$C$2:$C$47,1,FALSE)),0,VLOOKUP($A35,'3000m handicap'!$C$2:$K$47,9,FALSE))</f>
        <v>80.56</v>
      </c>
      <c r="L35" s="62">
        <f>IF(ISNA(VLOOKUP($A35,'10 km'!$B$2:$B$50,1,FALSE)),0,VLOOKUP($A35,'10 km'!$B$2:$D$50,3,FALSE))</f>
        <v>0</v>
      </c>
      <c r="M35" s="62">
        <f>IF(ISNA(VLOOKUP($A35,'Peter Moor 2000m'!$C$2:$C$30,1,FALSE)),0,VLOOKUP($A35,'Peter Moor 2000m'!$C$2:$I$30,7,FALSE))</f>
        <v>0</v>
      </c>
      <c r="N35" s="62">
        <f>IF(ISNA(VLOOKUP($A35,'Max Howard Tan handicap'!$C$2:$C$23,1,FALSE)),0,VLOOKUP($A35,'Max Howard Tan handicap'!$C$2:$I$23,7,FALSE))</f>
        <v>0</v>
      </c>
      <c r="O35" s="88">
        <f>IF(ISNA(VLOOKUP($A35,parkrun!$B$2:$H$145,1,FALSE)),0,VLOOKUP($A35,parkrun!$B$2:$H$145,7,FALSE))</f>
        <v>0.69</v>
      </c>
      <c r="P35" s="133">
        <f>SUM(F35:O35)</f>
        <v>252.76</v>
      </c>
      <c r="Q35" s="134">
        <f>COUNTIF(F35:O35,"&gt;0")</f>
        <v>5</v>
      </c>
      <c r="R35" s="215">
        <f>SMALL(F35:O35,1)+SMALL(F35:O35,2)</f>
        <v>0</v>
      </c>
      <c r="S35" s="215">
        <f>IF(Q35=1,P35,P35-R35)</f>
        <v>252.76</v>
      </c>
      <c r="T35" s="216">
        <f>RANK(P35,$P$5:$P$230,0)</f>
        <v>31</v>
      </c>
      <c r="U35" s="26">
        <f>RANK(S35,$S$5:$S$230,0)</f>
        <v>31</v>
      </c>
      <c r="W35" s="113">
        <v>26469</v>
      </c>
      <c r="X35" s="58"/>
      <c r="Y35" s="44"/>
      <c r="AD35" s="44"/>
    </row>
    <row r="36" spans="1:30" x14ac:dyDescent="0.2">
      <c r="A36" s="38" t="s">
        <v>35</v>
      </c>
      <c r="B36" s="81">
        <v>125</v>
      </c>
      <c r="C36" s="81" t="s">
        <v>233</v>
      </c>
      <c r="D36" s="146">
        <v>26508</v>
      </c>
      <c r="E36" s="81" t="s">
        <v>214</v>
      </c>
      <c r="F36" s="148">
        <f>IF(ISNA(VLOOKUP($A36,'2 Bridges Relay'!$F$2:$F$67,1,FALSE)),0,VLOOKUP($A36,'2 Bridges Relay'!$F$2:$J$67,5,FALSE))</f>
        <v>83.33</v>
      </c>
      <c r="G36" s="88">
        <f>IF(ISNA(VLOOKUP($A36,'5M''s'!$D$2:$E$27,1,FALSE)),0,VLOOKUP($A36,'5M''s'!$D$2:$E$27,2,FALSE))</f>
        <v>0</v>
      </c>
      <c r="H36" s="62">
        <f>IF(ISNA(VLOOKUP($A36,'Mile handicap'!$C$2:$C$51,1,FALSE)),0,VLOOKUP($A36,'Mile handicap'!$C$2:$K$51,9,FALSE))</f>
        <v>0</v>
      </c>
      <c r="I36" s="62">
        <f>IF(ISNA(VLOOKUP($A36,'5000m handicap'!$C$2:$C$46,1,FALSE)),0,VLOOKUP($A36,'5000m handicap'!$C$2:$K$46,9,FALSE))</f>
        <v>0</v>
      </c>
      <c r="J36" s="62">
        <f>IF(ISNA(VLOOKUP($A36,'KL handicap'!$C$2:$C$37,1,FALSE)),0,VLOOKUP($A36,'KL handicap'!$C$2:$I$37,7,FALSE))</f>
        <v>28.57</v>
      </c>
      <c r="K36" s="62">
        <f>IF(ISNA(VLOOKUP($A36,'3000m handicap'!$C$2:$C$47,1,FALSE)),0,VLOOKUP($A36,'3000m handicap'!$C$2:$K$47,9,FALSE))</f>
        <v>61.11</v>
      </c>
      <c r="L36" s="62">
        <f>IF(ISNA(VLOOKUP($A36,'10 km'!$B$2:$B$50,1,FALSE)),0,VLOOKUP($A36,'10 km'!$B$2:$D$50,3,FALSE))</f>
        <v>0</v>
      </c>
      <c r="M36" s="62">
        <f>IF(ISNA(VLOOKUP($A36,'Peter Moor 2000m'!$C$2:$C$30,1,FALSE)),0,VLOOKUP($A36,'Peter Moor 2000m'!$C$2:$I$30,7,FALSE))</f>
        <v>0</v>
      </c>
      <c r="N36" s="62">
        <f>IF(ISNA(VLOOKUP($A36,'Max Howard Tan handicap'!$C$2:$C$23,1,FALSE)),0,VLOOKUP($A36,'Max Howard Tan handicap'!$C$2:$I$23,7,FALSE))</f>
        <v>0</v>
      </c>
      <c r="O36" s="62">
        <f>IF(ISNA(VLOOKUP($A36,parkrun!$B$2:$H$145,1,FALSE)),0,VLOOKUP($A36,parkrun!$B$2:$H$145,7,FALSE))</f>
        <v>68.06</v>
      </c>
      <c r="P36" s="133">
        <f>SUM(F36:O36)</f>
        <v>241.07</v>
      </c>
      <c r="Q36" s="134">
        <f>COUNTIF(F36:O36,"&gt;0")</f>
        <v>4</v>
      </c>
      <c r="R36" s="215">
        <f>SMALL(F36:O36,1)+SMALL(F36:O36,2)</f>
        <v>0</v>
      </c>
      <c r="S36" s="215">
        <f>IF(Q36=1,P36,P36-R36)</f>
        <v>241.07</v>
      </c>
      <c r="T36" s="216">
        <f>RANK(P36,$P$5:$P$230,0)</f>
        <v>32</v>
      </c>
      <c r="U36" s="26">
        <f>RANK(S36,$S$5:$S$230,0)</f>
        <v>32</v>
      </c>
      <c r="W36" s="113">
        <v>32367</v>
      </c>
      <c r="X36" s="58"/>
      <c r="Y36" s="44"/>
      <c r="AD36" s="44"/>
    </row>
    <row r="37" spans="1:30" x14ac:dyDescent="0.2">
      <c r="A37" s="38" t="s">
        <v>137</v>
      </c>
      <c r="B37" s="81">
        <v>164</v>
      </c>
      <c r="C37" s="81" t="s">
        <v>233</v>
      </c>
      <c r="D37" s="146">
        <v>31147</v>
      </c>
      <c r="E37" s="81" t="s">
        <v>214</v>
      </c>
      <c r="F37" s="61">
        <f>IF(ISNA(VLOOKUP($A37,'2 Bridges Relay'!$F$2:$F$67,1,FALSE)),0,VLOOKUP($A37,'2 Bridges Relay'!$F$2:$J$67,5,FALSE))</f>
        <v>63.33</v>
      </c>
      <c r="G37" s="88">
        <f>IF(ISNA(VLOOKUP($A37,'5M''s'!$D$2:$E$27,1,FALSE)),0,VLOOKUP($A37,'5M''s'!$D$2:$E$27,2,FALSE))</f>
        <v>0</v>
      </c>
      <c r="H37" s="62">
        <f>IF(ISNA(VLOOKUP($A37,'Mile handicap'!$C$2:$C$51,1,FALSE)),0,VLOOKUP($A37,'Mile handicap'!$C$2:$K$51,9,FALSE))</f>
        <v>0</v>
      </c>
      <c r="I37" s="62">
        <f>IF(ISNA(VLOOKUP($A37,'5000m handicap'!$C$2:$C$46,1,FALSE)),0,VLOOKUP($A37,'5000m handicap'!$C$2:$K$46,9,FALSE))</f>
        <v>0</v>
      </c>
      <c r="J37" s="62">
        <f>IF(ISNA(VLOOKUP($A37,'KL handicap'!$C$2:$C$37,1,FALSE)),0,VLOOKUP($A37,'KL handicap'!$C$2:$I$37,7,FALSE))</f>
        <v>0</v>
      </c>
      <c r="K37" s="62">
        <f>IF(ISNA(VLOOKUP($A37,'3000m handicap'!$C$2:$C$47,1,FALSE)),0,VLOOKUP($A37,'3000m handicap'!$C$2:$K$47,9,FALSE))</f>
        <v>0</v>
      </c>
      <c r="L37" s="62">
        <f>IF(ISNA(VLOOKUP($A37,'10 km'!$B$2:$B$50,1,FALSE)),0,VLOOKUP($A37,'10 km'!$B$2:$D$50,3,FALSE))</f>
        <v>93.88</v>
      </c>
      <c r="M37" s="62">
        <f>IF(ISNA(VLOOKUP($A37,'Peter Moor 2000m'!$C$2:$C$30,1,FALSE)),0,VLOOKUP($A37,'Peter Moor 2000m'!$C$2:$I$30,7,FALSE))</f>
        <v>0</v>
      </c>
      <c r="N37" s="62">
        <f>IF(ISNA(VLOOKUP($A37,'Max Howard Tan handicap'!$C$2:$C$23,1,FALSE)),0,VLOOKUP($A37,'Max Howard Tan handicap'!$C$2:$I$23,7,FALSE))</f>
        <v>0</v>
      </c>
      <c r="O37" s="88">
        <f>IF(ISNA(VLOOKUP($A37,parkrun!$B$2:$H$145,1,FALSE)),0,VLOOKUP($A37,parkrun!$B$2:$H$145,7,FALSE))</f>
        <v>81.94</v>
      </c>
      <c r="P37" s="133">
        <f>SUM(F37:O37)</f>
        <v>239.14999999999998</v>
      </c>
      <c r="Q37" s="134">
        <f>COUNTIF(F37:O37,"&gt;0")</f>
        <v>3</v>
      </c>
      <c r="R37" s="215">
        <f>SMALL(F37:O37,1)+SMALL(F37:O37,2)</f>
        <v>0</v>
      </c>
      <c r="S37" s="215">
        <f>IF(Q37=1,P37,P37-R37)</f>
        <v>239.14999999999998</v>
      </c>
      <c r="T37" s="216">
        <f>RANK(P37,$P$5:$P$230,0)</f>
        <v>33</v>
      </c>
      <c r="U37" s="26">
        <f>RANK(S37,$S$5:$S$230,0)</f>
        <v>33</v>
      </c>
      <c r="W37" s="113">
        <v>25937</v>
      </c>
      <c r="X37" s="58"/>
      <c r="Y37" s="44"/>
      <c r="AD37" s="44"/>
    </row>
    <row r="38" spans="1:30" x14ac:dyDescent="0.2">
      <c r="A38" s="38" t="s">
        <v>99</v>
      </c>
      <c r="B38" s="81">
        <v>39</v>
      </c>
      <c r="C38" s="81" t="s">
        <v>233</v>
      </c>
      <c r="D38" s="146">
        <v>24643</v>
      </c>
      <c r="E38" s="81" t="s">
        <v>196</v>
      </c>
      <c r="F38" s="61">
        <f>IF(ISNA(VLOOKUP($A38,'2 Bridges Relay'!$F$2:$F$67,1,FALSE)),0,VLOOKUP($A38,'2 Bridges Relay'!$F$2:$J$67,5,FALSE))</f>
        <v>0</v>
      </c>
      <c r="G38" s="88">
        <f>IF(ISNA(VLOOKUP($A38,'5M''s'!$D$2:$E$27,1,FALSE)),0,VLOOKUP($A38,'5M''s'!$D$2:$E$27,2,FALSE))</f>
        <v>0</v>
      </c>
      <c r="H38" s="62">
        <f>IF(ISNA(VLOOKUP($A38,'Mile handicap'!$C$2:$C$51,1,FALSE)),0,VLOOKUP($A38,'Mile handicap'!$C$2:$K$51,9,FALSE))</f>
        <v>0</v>
      </c>
      <c r="I38" s="62">
        <f>IF(ISNA(VLOOKUP($A38,'5000m handicap'!$C$2:$C$46,1,FALSE)),0,VLOOKUP($A38,'5000m handicap'!$C$2:$K$46,9,FALSE))</f>
        <v>0</v>
      </c>
      <c r="J38" s="62">
        <f>IF(ISNA(VLOOKUP($A38,'KL handicap'!$C$2:$C$37,1,FALSE)),0,VLOOKUP($A38,'KL handicap'!$C$2:$I$37,7,FALSE))</f>
        <v>0</v>
      </c>
      <c r="K38" s="62">
        <f>IF(ISNA(VLOOKUP($A38,'3000m handicap'!$C$2:$C$47,1,FALSE)),0,VLOOKUP($A38,'3000m handicap'!$C$2:$K$47,9,FALSE))</f>
        <v>0</v>
      </c>
      <c r="L38" s="62">
        <f>IF(ISNA(VLOOKUP($A38,'10 km'!$B$2:$B$50,1,FALSE)),0,VLOOKUP($A38,'10 km'!$B$2:$D$50,3,FALSE))</f>
        <v>46.94</v>
      </c>
      <c r="M38" s="62">
        <f>IF(ISNA(VLOOKUP($A38,'Peter Moor 2000m'!$C$2:$C$30,1,FALSE)),0,VLOOKUP($A38,'Peter Moor 2000m'!$C$2:$I$30,7,FALSE))</f>
        <v>27.27</v>
      </c>
      <c r="N38" s="218">
        <f>IF(ISNA(VLOOKUP($A38,'Max Howard Tan handicap'!$C$2:$C$23,1,FALSE)),0,VLOOKUP($A38,'Max Howard Tan handicap'!$C$2:$I$23,7,FALSE))</f>
        <v>62.5</v>
      </c>
      <c r="O38" s="88">
        <f>IF(ISNA(VLOOKUP($A38,parkrun!$B$2:$H$145,1,FALSE)),0,VLOOKUP($A38,parkrun!$B$2:$H$145,7,FALSE))</f>
        <v>97.92</v>
      </c>
      <c r="P38" s="133">
        <f>SUM(F38:O38)</f>
        <v>234.63</v>
      </c>
      <c r="Q38" s="134">
        <f>COUNTIF(F38:O38,"&gt;0")</f>
        <v>4</v>
      </c>
      <c r="R38" s="215">
        <f>SMALL(F38:O38,1)+SMALL(F38:O38,2)</f>
        <v>0</v>
      </c>
      <c r="S38" s="215">
        <f>IF(Q38=1,P38,P38-R38)</f>
        <v>234.63</v>
      </c>
      <c r="T38" s="216">
        <f>RANK(P38,$P$5:$P$230,0)</f>
        <v>34</v>
      </c>
      <c r="U38" s="26">
        <f>RANK(S38,$S$5:$S$230,0)</f>
        <v>34</v>
      </c>
      <c r="W38" s="113">
        <v>28320</v>
      </c>
      <c r="X38" s="58"/>
      <c r="Y38" s="44"/>
      <c r="AD38" s="44"/>
    </row>
    <row r="39" spans="1:30" x14ac:dyDescent="0.2">
      <c r="A39" s="38" t="s">
        <v>44</v>
      </c>
      <c r="B39" s="81">
        <v>78</v>
      </c>
      <c r="C39" s="81" t="s">
        <v>233</v>
      </c>
      <c r="D39" s="146">
        <v>24862</v>
      </c>
      <c r="E39" s="81" t="s">
        <v>196</v>
      </c>
      <c r="F39" s="61">
        <f>IF(ISNA(VLOOKUP($A39,'2 Bridges Relay'!$F$2:$F$67,1,FALSE)),0,VLOOKUP($A39,'2 Bridges Relay'!$F$2:$J$67,5,FALSE))</f>
        <v>53.33</v>
      </c>
      <c r="G39" s="88">
        <f>IF(ISNA(VLOOKUP($A39,'5M''s'!$D$2:$E$27,1,FALSE)),0,VLOOKUP($A39,'5M''s'!$D$2:$E$27,2,FALSE))</f>
        <v>0</v>
      </c>
      <c r="H39" s="62">
        <f>IF(ISNA(VLOOKUP($A39,'Mile handicap'!$C$2:$C$51,1,FALSE)),0,VLOOKUP($A39,'Mile handicap'!$C$2:$K$51,9,FALSE))</f>
        <v>95.12</v>
      </c>
      <c r="I39" s="62">
        <f>IF(ISNA(VLOOKUP($A39,'5000m handicap'!$C$2:$C$46,1,FALSE)),0,VLOOKUP($A39,'5000m handicap'!$C$2:$K$46,9,FALSE))</f>
        <v>0</v>
      </c>
      <c r="J39" s="62">
        <f>IF(ISNA(VLOOKUP($A39,'KL handicap'!$C$2:$C$37,1,FALSE)),0,VLOOKUP($A39,'KL handicap'!$C$2:$I$37,7,FALSE))</f>
        <v>0</v>
      </c>
      <c r="K39" s="62">
        <f>IF(ISNA(VLOOKUP($A39,'3000m handicap'!$C$2:$C$47,1,FALSE)),0,VLOOKUP($A39,'3000m handicap'!$C$2:$K$47,9,FALSE))</f>
        <v>0</v>
      </c>
      <c r="L39" s="62">
        <f>IF(ISNA(VLOOKUP($A39,'10 km'!$B$2:$B$50,1,FALSE)),0,VLOOKUP($A39,'10 km'!$B$2:$D$50,3,FALSE))</f>
        <v>0</v>
      </c>
      <c r="M39" s="62">
        <f>IF(ISNA(VLOOKUP($A39,'Peter Moor 2000m'!$C$2:$C$30,1,FALSE)),0,VLOOKUP($A39,'Peter Moor 2000m'!$C$2:$I$30,7,FALSE))</f>
        <v>0</v>
      </c>
      <c r="N39" s="62">
        <f>IF(ISNA(VLOOKUP($A39,'Max Howard Tan handicap'!$C$2:$C$23,1,FALSE)),0,VLOOKUP($A39,'Max Howard Tan handicap'!$C$2:$I$23,7,FALSE))</f>
        <v>0</v>
      </c>
      <c r="O39" s="88">
        <f>IF(ISNA(VLOOKUP($A39,parkrun!$B$2:$H$145,1,FALSE)),0,VLOOKUP($A39,parkrun!$B$2:$H$145,7,FALSE))</f>
        <v>74.31</v>
      </c>
      <c r="P39" s="133">
        <f>SUM(F39:O39)</f>
        <v>222.76</v>
      </c>
      <c r="Q39" s="134">
        <f>COUNTIF(F39:O39,"&gt;0")</f>
        <v>3</v>
      </c>
      <c r="R39" s="215">
        <f>SMALL(F39:O39,1)+SMALL(F39:O39,2)</f>
        <v>0</v>
      </c>
      <c r="S39" s="215">
        <f>IF(Q39=1,P39,P39-R39)</f>
        <v>222.76</v>
      </c>
      <c r="T39" s="216">
        <f>RANK(P39,$P$5:$P$230,0)</f>
        <v>35</v>
      </c>
      <c r="U39" s="26">
        <f>RANK(S39,$S$5:$S$230,0)</f>
        <v>35</v>
      </c>
      <c r="W39" s="113">
        <v>31147</v>
      </c>
      <c r="X39" s="58"/>
      <c r="Y39" s="44"/>
      <c r="AD39" s="44"/>
    </row>
    <row r="40" spans="1:30" x14ac:dyDescent="0.2">
      <c r="A40" s="38" t="s">
        <v>136</v>
      </c>
      <c r="B40" s="81">
        <v>140</v>
      </c>
      <c r="C40" s="81" t="s">
        <v>233</v>
      </c>
      <c r="D40" s="146">
        <v>27288</v>
      </c>
      <c r="E40" s="81" t="s">
        <v>214</v>
      </c>
      <c r="F40" s="61">
        <f>IF(ISNA(VLOOKUP($A40,'2 Bridges Relay'!$F$2:$F$67,1,FALSE)),0,VLOOKUP($A40,'2 Bridges Relay'!$F$2:$J$67,5,FALSE))</f>
        <v>0</v>
      </c>
      <c r="G40" s="88">
        <f>IF(ISNA(VLOOKUP($A40,'5M''s'!$D$2:$E$27,1,FALSE)),0,VLOOKUP($A40,'5M''s'!$D$2:$E$27,2,FALSE))</f>
        <v>0</v>
      </c>
      <c r="H40" s="62">
        <f>IF(ISNA(VLOOKUP($A40,'Mile handicap'!$C$2:$C$51,1,FALSE)),0,VLOOKUP($A40,'Mile handicap'!$C$2:$K$51,9,FALSE))</f>
        <v>0</v>
      </c>
      <c r="I40" s="62">
        <f>IF(ISNA(VLOOKUP($A40,'5000m handicap'!$C$2:$C$46,1,FALSE)),0,VLOOKUP($A40,'5000m handicap'!$C$2:$K$46,9,FALSE))</f>
        <v>0</v>
      </c>
      <c r="J40" s="62">
        <f>IF(ISNA(VLOOKUP($A40,'KL handicap'!$C$2:$C$37,1,FALSE)),0,VLOOKUP($A40,'KL handicap'!$C$2:$I$37,7,FALSE))</f>
        <v>0</v>
      </c>
      <c r="K40" s="62">
        <f>IF(ISNA(VLOOKUP($A40,'3000m handicap'!$C$2:$C$47,1,FALSE)),0,VLOOKUP($A40,'3000m handicap'!$C$2:$K$47,9,FALSE))</f>
        <v>61.11</v>
      </c>
      <c r="L40" s="62">
        <f>IF(ISNA(VLOOKUP($A40,'10 km'!$B$2:$B$50,1,FALSE)),0,VLOOKUP($A40,'10 km'!$B$2:$D$50,3,FALSE))</f>
        <v>65.31</v>
      </c>
      <c r="M40" s="62">
        <f>IF(ISNA(VLOOKUP($A40,'Peter Moor 2000m'!$C$2:$C$30,1,FALSE)),0,VLOOKUP($A40,'Peter Moor 2000m'!$C$2:$I$30,7,FALSE))</f>
        <v>0</v>
      </c>
      <c r="N40" s="62">
        <f>IF(ISNA(VLOOKUP($A40,'Max Howard Tan handicap'!$C$2:$C$23,1,FALSE)),0,VLOOKUP($A40,'Max Howard Tan handicap'!$C$2:$I$23,7,FALSE))</f>
        <v>0</v>
      </c>
      <c r="O40" s="88">
        <f>IF(ISNA(VLOOKUP($A40,parkrun!$B$2:$H$145,1,FALSE)),0,VLOOKUP($A40,parkrun!$B$2:$H$145,7,FALSE))</f>
        <v>90.28</v>
      </c>
      <c r="P40" s="133">
        <f>SUM(F40:O40)</f>
        <v>216.7</v>
      </c>
      <c r="Q40" s="134">
        <f>COUNTIF(F40:O40,"&gt;0")</f>
        <v>3</v>
      </c>
      <c r="R40" s="215">
        <f>SMALL(F40:O40,1)+SMALL(F40:O40,2)</f>
        <v>0</v>
      </c>
      <c r="S40" s="215">
        <f>IF(Q40=1,P40,P40-R40)</f>
        <v>216.7</v>
      </c>
      <c r="T40" s="216">
        <f>RANK(P40,$P$5:$P$230,0)</f>
        <v>36</v>
      </c>
      <c r="U40" s="26">
        <f>RANK(S40,$S$5:$S$230,0)</f>
        <v>36</v>
      </c>
      <c r="W40" s="113">
        <v>27789</v>
      </c>
      <c r="X40" s="58"/>
      <c r="Y40" s="44"/>
      <c r="AD40" s="44"/>
    </row>
    <row r="41" spans="1:30" x14ac:dyDescent="0.2">
      <c r="A41" s="38" t="s">
        <v>45</v>
      </c>
      <c r="B41" s="81">
        <v>102</v>
      </c>
      <c r="C41" s="81" t="s">
        <v>233</v>
      </c>
      <c r="D41" s="146">
        <v>28707</v>
      </c>
      <c r="E41" s="81" t="s">
        <v>214</v>
      </c>
      <c r="F41" s="61">
        <f>IF(ISNA(VLOOKUP($A41,'2 Bridges Relay'!$F$2:$F$67,1,FALSE)),0,VLOOKUP($A41,'2 Bridges Relay'!$F$2:$J$67,5,FALSE))</f>
        <v>80</v>
      </c>
      <c r="G41" s="88">
        <f>IF(ISNA(VLOOKUP($A41,'5M''s'!$D$2:$E$27,1,FALSE)),0,VLOOKUP($A41,'5M''s'!$D$2:$E$27,2,FALSE))</f>
        <v>0</v>
      </c>
      <c r="H41" s="62">
        <f>IF(ISNA(VLOOKUP($A41,'Mile handicap'!$C$2:$C$51,1,FALSE)),0,VLOOKUP($A41,'Mile handicap'!$C$2:$K$51,9,FALSE))</f>
        <v>0</v>
      </c>
      <c r="I41" s="62">
        <f>IF(ISNA(VLOOKUP($A41,'5000m handicap'!$C$2:$C$46,1,FALSE)),0,VLOOKUP($A41,'5000m handicap'!$C$2:$K$46,9,FALSE))</f>
        <v>0</v>
      </c>
      <c r="J41" s="62">
        <f>IF(ISNA(VLOOKUP($A41,'KL handicap'!$C$2:$C$37,1,FALSE)),0,VLOOKUP($A41,'KL handicap'!$C$2:$I$37,7,FALSE))</f>
        <v>82.14</v>
      </c>
      <c r="K41" s="62">
        <f>IF(ISNA(VLOOKUP($A41,'3000m handicap'!$C$2:$C$47,1,FALSE)),0,VLOOKUP($A41,'3000m handicap'!$C$2:$K$47,9,FALSE))</f>
        <v>5.56</v>
      </c>
      <c r="L41" s="62">
        <f>IF(ISNA(VLOOKUP($A41,'10 km'!$B$2:$B$50,1,FALSE)),0,VLOOKUP($A41,'10 km'!$B$2:$D$50,3,FALSE))</f>
        <v>0</v>
      </c>
      <c r="M41" s="62">
        <f>IF(ISNA(VLOOKUP($A41,'Peter Moor 2000m'!$C$2:$C$30,1,FALSE)),0,VLOOKUP($A41,'Peter Moor 2000m'!$C$2:$I$30,7,FALSE))</f>
        <v>0</v>
      </c>
      <c r="N41" s="62">
        <f>IF(ISNA(VLOOKUP($A41,'Max Howard Tan handicap'!$C$2:$C$23,1,FALSE)),0,VLOOKUP($A41,'Max Howard Tan handicap'!$C$2:$I$23,7,FALSE))</f>
        <v>0</v>
      </c>
      <c r="O41" s="62">
        <f>IF(ISNA(VLOOKUP($A41,parkrun!$B$2:$H$145,1,FALSE)),0,VLOOKUP($A41,parkrun!$B$2:$H$145,7,FALSE))</f>
        <v>46.53</v>
      </c>
      <c r="P41" s="133">
        <f>SUM(F41:O41)</f>
        <v>214.23</v>
      </c>
      <c r="Q41" s="134">
        <f>COUNTIF(F41:O41,"&gt;0")</f>
        <v>4</v>
      </c>
      <c r="R41" s="215">
        <f>SMALL(F41:O41,1)+SMALL(F41:O41,2)</f>
        <v>0</v>
      </c>
      <c r="S41" s="215">
        <f>IF(Q41=1,P41,P41-R41)</f>
        <v>214.23</v>
      </c>
      <c r="T41" s="216">
        <f>RANK(P41,$P$5:$P$230,0)</f>
        <v>37</v>
      </c>
      <c r="U41" s="26">
        <f>RANK(S41,$S$5:$S$230,0)</f>
        <v>37</v>
      </c>
      <c r="W41" s="113">
        <v>23037</v>
      </c>
      <c r="X41" s="58"/>
      <c r="Y41" s="44"/>
      <c r="AD41" s="44"/>
    </row>
    <row r="42" spans="1:30" x14ac:dyDescent="0.2">
      <c r="A42" s="38" t="s">
        <v>72</v>
      </c>
      <c r="B42" s="81">
        <v>63</v>
      </c>
      <c r="C42" s="81" t="s">
        <v>233</v>
      </c>
      <c r="D42" s="146">
        <v>20975</v>
      </c>
      <c r="E42" s="81" t="s">
        <v>196</v>
      </c>
      <c r="F42" s="61">
        <f>IF(ISNA(VLOOKUP($A42,'2 Bridges Relay'!$F$2:$F$67,1,FALSE)),0,VLOOKUP($A42,'2 Bridges Relay'!$F$2:$J$67,5,FALSE))</f>
        <v>0</v>
      </c>
      <c r="G42" s="88">
        <f>IF(ISNA(VLOOKUP($A42,'5M''s'!$D$2:$E$27,1,FALSE)),0,VLOOKUP($A42,'5M''s'!$D$2:$E$27,2,FALSE))</f>
        <v>0</v>
      </c>
      <c r="H42" s="223">
        <f>IF(ISNA(VLOOKUP($A42,'Mile handicap'!$C$2:$C$51,1,FALSE)),0,VLOOKUP($A42,'Mile handicap'!$C$2:$K$51,9,FALSE))</f>
        <v>60.98</v>
      </c>
      <c r="I42" s="62">
        <f>IF(ISNA(VLOOKUP($A42,'5000m handicap'!$C$2:$C$46,1,FALSE)),0,VLOOKUP($A42,'5000m handicap'!$C$2:$K$46,9,FALSE))</f>
        <v>0</v>
      </c>
      <c r="J42" s="62">
        <f>IF(ISNA(VLOOKUP($A42,'KL handicap'!$C$2:$C$37,1,FALSE)),0,VLOOKUP($A42,'KL handicap'!$C$2:$I$37,7,FALSE))</f>
        <v>0</v>
      </c>
      <c r="K42" s="62">
        <f>IF(ISNA(VLOOKUP($A42,'3000m handicap'!$C$2:$C$47,1,FALSE)),0,VLOOKUP($A42,'3000m handicap'!$C$2:$K$47,9,FALSE))</f>
        <v>0</v>
      </c>
      <c r="L42" s="62">
        <f>IF(ISNA(VLOOKUP($A42,'10 km'!$B$2:$B$50,1,FALSE)),0,VLOOKUP($A42,'10 km'!$B$2:$D$50,3,FALSE))</f>
        <v>53.06</v>
      </c>
      <c r="M42" s="62">
        <f>IF(ISNA(VLOOKUP($A42,'Peter Moor 2000m'!$C$2:$C$30,1,FALSE)),0,VLOOKUP($A42,'Peter Moor 2000m'!$C$2:$I$30,7,FALSE))</f>
        <v>0</v>
      </c>
      <c r="N42" s="62">
        <f>IF(ISNA(VLOOKUP($A42,'Max Howard Tan handicap'!$C$2:$C$23,1,FALSE)),0,VLOOKUP($A42,'Max Howard Tan handicap'!$C$2:$I$23,7,FALSE))</f>
        <v>0</v>
      </c>
      <c r="O42" s="217">
        <f>IF(ISNA(VLOOKUP($A42,parkrun!$B$2:$H$145,1,FALSE)),0,VLOOKUP($A42,parkrun!$B$2:$H$145,7,FALSE))</f>
        <v>100</v>
      </c>
      <c r="P42" s="133">
        <f>SUM(F42:O42)</f>
        <v>214.04</v>
      </c>
      <c r="Q42" s="134">
        <f>COUNTIF(F42:O42,"&gt;0")</f>
        <v>3</v>
      </c>
      <c r="R42" s="215">
        <f>SMALL(F42:O42,1)+SMALL(F42:O42,2)</f>
        <v>0</v>
      </c>
      <c r="S42" s="215">
        <f>IF(Q42=1,P42,P42-R42)</f>
        <v>214.04</v>
      </c>
      <c r="T42" s="216">
        <f>RANK(P42,$P$5:$P$230,0)</f>
        <v>38</v>
      </c>
      <c r="U42" s="26">
        <f>RANK(S42,$S$5:$S$230,0)</f>
        <v>38</v>
      </c>
      <c r="W42" s="113">
        <v>27341</v>
      </c>
      <c r="X42" s="58"/>
      <c r="Y42" s="44"/>
      <c r="AD42" s="44"/>
    </row>
    <row r="43" spans="1:30" x14ac:dyDescent="0.2">
      <c r="A43" s="38" t="s">
        <v>260</v>
      </c>
      <c r="B43" s="81">
        <v>199</v>
      </c>
      <c r="C43" s="81" t="s">
        <v>233</v>
      </c>
      <c r="D43" s="146">
        <v>33665</v>
      </c>
      <c r="E43" s="81" t="s">
        <v>214</v>
      </c>
      <c r="F43" s="61">
        <f>IF(ISNA(VLOOKUP($A43,'2 Bridges Relay'!$F$2:$F$67,1,FALSE)),0,VLOOKUP($A43,'2 Bridges Relay'!$F$2:$J$67,5,FALSE))</f>
        <v>66.67</v>
      </c>
      <c r="G43" s="88">
        <f>IF(ISNA(VLOOKUP($A43,'5M''s'!$D$2:$E$27,1,FALSE)),0,VLOOKUP($A43,'5M''s'!$D$2:$E$27,2,FALSE))</f>
        <v>0</v>
      </c>
      <c r="H43" s="62">
        <f>IF(ISNA(VLOOKUP($A43,'Mile handicap'!$C$2:$C$51,1,FALSE)),0,VLOOKUP($A43,'Mile handicap'!$C$2:$K$51,9,FALSE))</f>
        <v>0</v>
      </c>
      <c r="I43" s="62">
        <f>IF(ISNA(VLOOKUP($A43,'5000m handicap'!$C$2:$C$46,1,FALSE)),0,VLOOKUP($A43,'5000m handicap'!$C$2:$K$46,9,FALSE))</f>
        <v>0</v>
      </c>
      <c r="J43" s="62">
        <f>IF(ISNA(VLOOKUP($A43,'KL handicap'!$C$2:$C$37,1,FALSE)),0,VLOOKUP($A43,'KL handicap'!$C$2:$I$37,7,FALSE))</f>
        <v>0</v>
      </c>
      <c r="K43" s="62">
        <f>IF(ISNA(VLOOKUP($A43,'3000m handicap'!$C$2:$C$47,1,FALSE)),0,VLOOKUP($A43,'3000m handicap'!$C$2:$K$47,9,FALSE))</f>
        <v>0</v>
      </c>
      <c r="L43" s="62">
        <f>IF(ISNA(VLOOKUP($A43,'10 km'!$B$2:$B$50,1,FALSE)),0,VLOOKUP($A43,'10 km'!$B$2:$D$50,3,FALSE))</f>
        <v>77.55</v>
      </c>
      <c r="M43" s="62">
        <f>IF(ISNA(VLOOKUP($A43,'Peter Moor 2000m'!$C$2:$C$30,1,FALSE)),0,VLOOKUP($A43,'Peter Moor 2000m'!$C$2:$I$30,7,FALSE))</f>
        <v>0</v>
      </c>
      <c r="N43" s="62">
        <f>IF(ISNA(VLOOKUP($A43,'Max Howard Tan handicap'!$C$2:$C$23,1,FALSE)),0,VLOOKUP($A43,'Max Howard Tan handicap'!$C$2:$I$23,7,FALSE))</f>
        <v>0</v>
      </c>
      <c r="O43" s="88">
        <f>IF(ISNA(VLOOKUP($A43,parkrun!$B$2:$H$145,1,FALSE)),0,VLOOKUP($A43,parkrun!$B$2:$H$145,7,FALSE))</f>
        <v>61.11</v>
      </c>
      <c r="P43" s="133">
        <f>SUM(F43:O43)</f>
        <v>205.32999999999998</v>
      </c>
      <c r="Q43" s="134">
        <f>COUNTIF(F43:O43,"&gt;0")</f>
        <v>3</v>
      </c>
      <c r="R43" s="215">
        <f>SMALL(F43:O43,1)+SMALL(F43:O43,2)</f>
        <v>0</v>
      </c>
      <c r="S43" s="215">
        <f>IF(Q43=1,P43,P43-R43)</f>
        <v>205.32999999999998</v>
      </c>
      <c r="T43" s="216">
        <f>RANK(P43,$P$5:$P$230,0)</f>
        <v>39</v>
      </c>
      <c r="U43" s="26">
        <f>RANK(S43,$S$5:$S$230,0)</f>
        <v>39</v>
      </c>
      <c r="W43" s="113">
        <v>28707</v>
      </c>
      <c r="X43" s="58"/>
      <c r="Y43" s="44"/>
      <c r="AD43" s="44"/>
    </row>
    <row r="44" spans="1:30" x14ac:dyDescent="0.2">
      <c r="A44" s="38" t="s">
        <v>128</v>
      </c>
      <c r="B44" s="81">
        <v>154</v>
      </c>
      <c r="C44" s="81" t="s">
        <v>233</v>
      </c>
      <c r="D44" s="146">
        <v>27828</v>
      </c>
      <c r="E44" s="81" t="s">
        <v>214</v>
      </c>
      <c r="F44" s="61">
        <f>IF(ISNA(VLOOKUP($A44,'2 Bridges Relay'!$F$2:$F$67,1,FALSE)),0,VLOOKUP($A44,'2 Bridges Relay'!$F$2:$J$67,5,FALSE))</f>
        <v>70</v>
      </c>
      <c r="G44" s="88">
        <f>IF(ISNA(VLOOKUP($A44,'5M''s'!$D$2:$E$27,1,FALSE)),0,VLOOKUP($A44,'5M''s'!$D$2:$E$27,2,FALSE))</f>
        <v>0</v>
      </c>
      <c r="H44" s="62">
        <f>IF(ISNA(VLOOKUP($A44,'Mile handicap'!$C$2:$C$51,1,FALSE)),0,VLOOKUP($A44,'Mile handicap'!$C$2:$K$51,9,FALSE))</f>
        <v>87.8</v>
      </c>
      <c r="I44" s="62">
        <f>IF(ISNA(VLOOKUP($A44,'5000m handicap'!$C$2:$C$46,1,FALSE)),0,VLOOKUP($A44,'5000m handicap'!$C$2:$K$46,9,FALSE))</f>
        <v>47.37</v>
      </c>
      <c r="J44" s="62">
        <f>IF(ISNA(VLOOKUP($A44,'KL handicap'!$C$2:$C$37,1,FALSE)),0,VLOOKUP($A44,'KL handicap'!$C$2:$I$37,7,FALSE))</f>
        <v>0</v>
      </c>
      <c r="K44" s="62">
        <f>IF(ISNA(VLOOKUP($A44,'3000m handicap'!$C$2:$C$47,1,FALSE)),0,VLOOKUP($A44,'3000m handicap'!$C$2:$K$47,9,FALSE))</f>
        <v>0</v>
      </c>
      <c r="L44" s="62">
        <f>IF(ISNA(VLOOKUP($A44,'10 km'!$B$2:$B$50,1,FALSE)),0,VLOOKUP($A44,'10 km'!$B$2:$D$50,3,FALSE))</f>
        <v>0</v>
      </c>
      <c r="M44" s="62">
        <f>IF(ISNA(VLOOKUP($A44,'Peter Moor 2000m'!$C$2:$C$30,1,FALSE)),0,VLOOKUP($A44,'Peter Moor 2000m'!$C$2:$I$30,7,FALSE))</f>
        <v>0</v>
      </c>
      <c r="N44" s="62">
        <f>IF(ISNA(VLOOKUP($A44,'Max Howard Tan handicap'!$C$2:$C$23,1,FALSE)),0,VLOOKUP($A44,'Max Howard Tan handicap'!$C$2:$I$23,7,FALSE))</f>
        <v>0</v>
      </c>
      <c r="O44" s="88">
        <f>IF(ISNA(VLOOKUP($A44,parkrun!$B$2:$H$145,1,FALSE)),0,VLOOKUP($A44,parkrun!$B$2:$H$145,7,FALSE))</f>
        <v>0</v>
      </c>
      <c r="P44" s="133">
        <f>SUM(F44:O44)</f>
        <v>205.17000000000002</v>
      </c>
      <c r="Q44" s="134">
        <f>COUNTIF(F44:O44,"&gt;0")</f>
        <v>3</v>
      </c>
      <c r="R44" s="215">
        <f>SMALL(F44:O44,1)+SMALL(F44:O44,2)</f>
        <v>0</v>
      </c>
      <c r="S44" s="215">
        <f>IF(Q44=1,P44,P44-R44)</f>
        <v>205.17000000000002</v>
      </c>
      <c r="T44" s="216">
        <f>RANK(P44,$P$5:$P$230,0)</f>
        <v>40</v>
      </c>
      <c r="U44" s="26">
        <f>RANK(S44,$S$5:$S$230,0)</f>
        <v>40</v>
      </c>
      <c r="W44" s="113">
        <v>28723</v>
      </c>
      <c r="X44" s="58"/>
      <c r="Y44" s="44"/>
      <c r="AD44" s="44"/>
    </row>
    <row r="45" spans="1:30" x14ac:dyDescent="0.2">
      <c r="A45" s="38" t="s">
        <v>259</v>
      </c>
      <c r="B45" s="81">
        <v>204</v>
      </c>
      <c r="C45" s="81" t="s">
        <v>233</v>
      </c>
      <c r="D45" s="146">
        <v>26101</v>
      </c>
      <c r="E45" s="81" t="s">
        <v>214</v>
      </c>
      <c r="F45" s="61">
        <f>IF(ISNA(VLOOKUP($A45,'2 Bridges Relay'!$F$2:$F$67,1,FALSE)),0,VLOOKUP($A45,'2 Bridges Relay'!$F$2:$J$67,5,FALSE))</f>
        <v>93.33</v>
      </c>
      <c r="G45" s="88">
        <f>IF(ISNA(VLOOKUP($A45,'5M''s'!$D$2:$E$27,1,FALSE)),0,VLOOKUP($A45,'5M''s'!$D$2:$E$27,2,FALSE))</f>
        <v>0</v>
      </c>
      <c r="H45" s="62">
        <f>IF(ISNA(VLOOKUP($A45,'Mile handicap'!$C$2:$C$51,1,FALSE)),0,VLOOKUP($A45,'Mile handicap'!$C$2:$K$51,9,FALSE))</f>
        <v>0</v>
      </c>
      <c r="I45" s="62">
        <f>IF(ISNA(VLOOKUP($A45,'5000m handicap'!$C$2:$C$46,1,FALSE)),0,VLOOKUP($A45,'5000m handicap'!$C$2:$K$46,9,FALSE))</f>
        <v>0</v>
      </c>
      <c r="J45" s="62">
        <f>IF(ISNA(VLOOKUP($A45,'KL handicap'!$C$2:$C$37,1,FALSE)),0,VLOOKUP($A45,'KL handicap'!$C$2:$I$37,7,FALSE))</f>
        <v>0</v>
      </c>
      <c r="K45" s="62">
        <f>IF(ISNA(VLOOKUP($A45,'3000m handicap'!$C$2:$C$47,1,FALSE)),0,VLOOKUP($A45,'3000m handicap'!$C$2:$K$47,9,FALSE))</f>
        <v>61.11</v>
      </c>
      <c r="L45" s="62">
        <f>IF(ISNA(VLOOKUP($A45,'10 km'!$B$2:$B$50,1,FALSE)),0,VLOOKUP($A45,'10 km'!$B$2:$D$50,3,FALSE))</f>
        <v>0</v>
      </c>
      <c r="M45" s="62">
        <f>IF(ISNA(VLOOKUP($A45,'Peter Moor 2000m'!$C$2:$C$30,1,FALSE)),0,VLOOKUP($A45,'Peter Moor 2000m'!$C$2:$I$30,7,FALSE))</f>
        <v>0</v>
      </c>
      <c r="N45" s="62">
        <f>IF(ISNA(VLOOKUP($A45,'Max Howard Tan handicap'!$C$2:$C$23,1,FALSE)),0,VLOOKUP($A45,'Max Howard Tan handicap'!$C$2:$I$23,7,FALSE))</f>
        <v>0</v>
      </c>
      <c r="O45" s="88">
        <f>IF(ISNA(VLOOKUP($A45,parkrun!$B$2:$H$145,1,FALSE)),0,VLOOKUP($A45,parkrun!$B$2:$H$145,7,FALSE))</f>
        <v>50.69</v>
      </c>
      <c r="P45" s="133">
        <f>SUM(F45:O45)</f>
        <v>205.13</v>
      </c>
      <c r="Q45" s="134">
        <f>COUNTIF(F45:O45,"&gt;0")</f>
        <v>3</v>
      </c>
      <c r="R45" s="215">
        <f>SMALL(F45:O45,1)+SMALL(F45:O45,2)</f>
        <v>0</v>
      </c>
      <c r="S45" s="215">
        <f>IF(Q45=1,P45,P45-R45)</f>
        <v>205.13</v>
      </c>
      <c r="T45" s="216">
        <f>RANK(P45,$P$5:$P$230,0)</f>
        <v>41</v>
      </c>
      <c r="U45" s="26">
        <f>RANK(S45,$S$5:$S$230,0)</f>
        <v>41</v>
      </c>
      <c r="W45" s="113">
        <v>30605</v>
      </c>
      <c r="X45" s="58"/>
      <c r="Y45" s="44"/>
      <c r="AD45" s="44"/>
    </row>
    <row r="46" spans="1:30" x14ac:dyDescent="0.2">
      <c r="A46" s="38" t="s">
        <v>353</v>
      </c>
      <c r="B46" s="81">
        <v>110</v>
      </c>
      <c r="C46" s="81" t="s">
        <v>233</v>
      </c>
      <c r="D46" s="146">
        <v>26030</v>
      </c>
      <c r="E46" s="81" t="s">
        <v>214</v>
      </c>
      <c r="F46" s="61">
        <f>IF(ISNA(VLOOKUP($A46,'2 Bridges Relay'!$F$2:$F$67,1,FALSE)),0,VLOOKUP($A46,'2 Bridges Relay'!$F$2:$J$67,5,FALSE))</f>
        <v>0</v>
      </c>
      <c r="G46" s="88">
        <f>IF(ISNA(VLOOKUP($A46,'5M''s'!$D$2:$E$27,1,FALSE)),0,VLOOKUP($A46,'5M''s'!$D$2:$E$27,2,FALSE))</f>
        <v>0</v>
      </c>
      <c r="H46" s="62">
        <f>IF(ISNA(VLOOKUP($A46,'Mile handicap'!$C$2:$C$51,1,FALSE)),0,VLOOKUP($A46,'Mile handicap'!$C$2:$K$51,9,FALSE))</f>
        <v>80.489999999999995</v>
      </c>
      <c r="I46" s="62">
        <f>IF(ISNA(VLOOKUP($A46,'5000m handicap'!$C$2:$C$46,1,FALSE)),0,VLOOKUP($A46,'5000m handicap'!$C$2:$K$46,9,FALSE))</f>
        <v>52.63</v>
      </c>
      <c r="J46" s="62">
        <f>IF(ISNA(VLOOKUP($A46,'KL handicap'!$C$2:$C$37,1,FALSE)),0,VLOOKUP($A46,'KL handicap'!$C$2:$I$37,7,FALSE))</f>
        <v>0</v>
      </c>
      <c r="K46" s="62">
        <f>IF(ISNA(VLOOKUP($A46,'3000m handicap'!$C$2:$C$47,1,FALSE)),0,VLOOKUP($A46,'3000m handicap'!$C$2:$K$47,9,FALSE))</f>
        <v>33.33</v>
      </c>
      <c r="L46" s="62">
        <f>IF(ISNA(VLOOKUP($A46,'10 km'!$B$2:$B$50,1,FALSE)),0,VLOOKUP($A46,'10 km'!$B$2:$D$50,3,FALSE))</f>
        <v>0</v>
      </c>
      <c r="M46" s="62">
        <f>IF(ISNA(VLOOKUP($A46,'Peter Moor 2000m'!$C$2:$C$30,1,FALSE)),0,VLOOKUP($A46,'Peter Moor 2000m'!$C$2:$I$30,7,FALSE))</f>
        <v>0</v>
      </c>
      <c r="N46" s="62">
        <f>IF(ISNA(VLOOKUP($A46,'Max Howard Tan handicap'!$C$2:$C$23,1,FALSE)),0,VLOOKUP($A46,'Max Howard Tan handicap'!$C$2:$I$23,7,FALSE))</f>
        <v>0</v>
      </c>
      <c r="O46" s="88">
        <f>IF(ISNA(VLOOKUP($A46,parkrun!$B$2:$H$145,1,FALSE)),0,VLOOKUP($A46,parkrun!$B$2:$H$145,7,FALSE))</f>
        <v>36.81</v>
      </c>
      <c r="P46" s="133">
        <f>SUM(F46:O46)</f>
        <v>203.26</v>
      </c>
      <c r="Q46" s="134">
        <f>COUNTIF(F46:O46,"&gt;0")</f>
        <v>4</v>
      </c>
      <c r="R46" s="215">
        <f>SMALL(F46:O46,1)+SMALL(F46:O46,2)</f>
        <v>0</v>
      </c>
      <c r="S46" s="215">
        <f>IF(Q46=1,P46,P46-R46)</f>
        <v>203.26</v>
      </c>
      <c r="T46" s="216">
        <f>RANK(P46,$P$5:$P$230,0)</f>
        <v>42</v>
      </c>
      <c r="U46" s="26">
        <f>RANK(S46,$S$5:$S$230,0)</f>
        <v>42</v>
      </c>
      <c r="W46" s="113">
        <v>29941</v>
      </c>
      <c r="X46" s="58"/>
      <c r="Y46" s="44"/>
      <c r="AD46" s="44"/>
    </row>
    <row r="47" spans="1:30" x14ac:dyDescent="0.2">
      <c r="A47" s="38" t="s">
        <v>41</v>
      </c>
      <c r="B47" s="81">
        <v>90</v>
      </c>
      <c r="C47" s="81" t="s">
        <v>233</v>
      </c>
      <c r="D47" s="146">
        <v>24391</v>
      </c>
      <c r="E47" s="81" t="s">
        <v>196</v>
      </c>
      <c r="F47" s="61">
        <f>IF(ISNA(VLOOKUP($A47,'2 Bridges Relay'!$F$2:$F$67,1,FALSE)),0,VLOOKUP($A47,'2 Bridges Relay'!$F$2:$J$67,5,FALSE))</f>
        <v>90</v>
      </c>
      <c r="G47" s="88">
        <f>IF(ISNA(VLOOKUP($A47,'5M''s'!$D$2:$E$27,1,FALSE)),0,VLOOKUP($A47,'5M''s'!$D$2:$E$27,2,FALSE))</f>
        <v>0</v>
      </c>
      <c r="H47" s="62">
        <f>IF(ISNA(VLOOKUP($A47,'Mile handicap'!$C$2:$C$51,1,FALSE)),0,VLOOKUP($A47,'Mile handicap'!$C$2:$K$51,9,FALSE))</f>
        <v>0</v>
      </c>
      <c r="I47" s="62">
        <f>IF(ISNA(VLOOKUP($A47,'5000m handicap'!$C$2:$C$46,1,FALSE)),0,VLOOKUP($A47,'5000m handicap'!$C$2:$K$46,9,FALSE))</f>
        <v>0</v>
      </c>
      <c r="J47" s="62">
        <f>IF(ISNA(VLOOKUP($A47,'KL handicap'!$C$2:$C$37,1,FALSE)),0,VLOOKUP($A47,'KL handicap'!$C$2:$I$37,7,FALSE))</f>
        <v>0</v>
      </c>
      <c r="K47" s="62">
        <f>IF(ISNA(VLOOKUP($A47,'3000m handicap'!$C$2:$C$47,1,FALSE)),0,VLOOKUP($A47,'3000m handicap'!$C$2:$K$47,9,FALSE))</f>
        <v>0</v>
      </c>
      <c r="L47" s="62">
        <f>IF(ISNA(VLOOKUP($A47,'10 km'!$B$2:$B$50,1,FALSE)),0,VLOOKUP($A47,'10 km'!$B$2:$D$50,3,FALSE))</f>
        <v>0</v>
      </c>
      <c r="M47" s="62">
        <f>IF(ISNA(VLOOKUP($A47,'Peter Moor 2000m'!$C$2:$C$30,1,FALSE)),0,VLOOKUP($A47,'Peter Moor 2000m'!$C$2:$I$30,7,FALSE))</f>
        <v>0</v>
      </c>
      <c r="N47" s="62">
        <f>IF(ISNA(VLOOKUP($A47,'Max Howard Tan handicap'!$C$2:$C$23,1,FALSE)),0,VLOOKUP($A47,'Max Howard Tan handicap'!$C$2:$I$23,7,FALSE))</f>
        <v>75</v>
      </c>
      <c r="O47" s="88">
        <f>IF(ISNA(VLOOKUP($A47,parkrun!$B$2:$H$145,1,FALSE)),0,VLOOKUP($A47,parkrun!$B$2:$H$145,7,FALSE))</f>
        <v>33.33</v>
      </c>
      <c r="P47" s="133">
        <f>SUM(F47:O47)</f>
        <v>198.32999999999998</v>
      </c>
      <c r="Q47" s="134">
        <f>COUNTIF(F47:O47,"&gt;0")</f>
        <v>3</v>
      </c>
      <c r="R47" s="215">
        <f>SMALL(F47:O47,1)+SMALL(F47:O47,2)</f>
        <v>0</v>
      </c>
      <c r="S47" s="215">
        <f>IF(Q47=1,P47,P47-R47)</f>
        <v>198.32999999999998</v>
      </c>
      <c r="T47" s="216">
        <f>RANK(P47,$P$5:$P$230,0)</f>
        <v>43</v>
      </c>
      <c r="U47" s="26">
        <f>RANK(S47,$S$5:$S$230,0)</f>
        <v>43</v>
      </c>
      <c r="W47" s="113">
        <v>30763</v>
      </c>
      <c r="X47" s="58"/>
      <c r="Y47" s="44"/>
      <c r="AD47" s="44"/>
    </row>
    <row r="48" spans="1:30" x14ac:dyDescent="0.2">
      <c r="A48" s="38" t="s">
        <v>362</v>
      </c>
      <c r="B48" s="81">
        <v>303</v>
      </c>
      <c r="C48" s="81" t="s">
        <v>233</v>
      </c>
      <c r="D48" s="146">
        <v>29767</v>
      </c>
      <c r="E48" s="81" t="s">
        <v>214</v>
      </c>
      <c r="F48" s="61">
        <f>IF(ISNA(VLOOKUP($A48,'2 Bridges Relay'!$F$2:$F$67,1,FALSE)),0,VLOOKUP($A48,'2 Bridges Relay'!$F$2:$J$67,5,FALSE))</f>
        <v>63.33</v>
      </c>
      <c r="G48" s="88">
        <f>IF(ISNA(VLOOKUP($A48,'5M''s'!$D$2:$E$27,1,FALSE)),0,VLOOKUP($A48,'5M''s'!$D$2:$E$27,2,FALSE))</f>
        <v>0</v>
      </c>
      <c r="H48" s="62">
        <f>IF(ISNA(VLOOKUP($A48,'Mile handicap'!$C$2:$C$51,1,FALSE)),0,VLOOKUP($A48,'Mile handicap'!$C$2:$K$51,9,FALSE))</f>
        <v>73.17</v>
      </c>
      <c r="I48" s="62">
        <f>IF(ISNA(VLOOKUP($A48,'5000m handicap'!$C$2:$C$46,1,FALSE)),0,VLOOKUP($A48,'5000m handicap'!$C$2:$K$46,9,FALSE))</f>
        <v>28.95</v>
      </c>
      <c r="J48" s="62">
        <f>IF(ISNA(VLOOKUP($A48,'KL handicap'!$C$2:$C$37,1,FALSE)),0,VLOOKUP($A48,'KL handicap'!$C$2:$I$37,7,FALSE))</f>
        <v>17.86</v>
      </c>
      <c r="K48" s="62">
        <f>IF(ISNA(VLOOKUP($A48,'3000m handicap'!$C$2:$C$47,1,FALSE)),0,VLOOKUP($A48,'3000m handicap'!$C$2:$K$47,9,FALSE))</f>
        <v>0</v>
      </c>
      <c r="L48" s="62">
        <f>IF(ISNA(VLOOKUP($A48,'10 km'!$B$2:$B$50,1,FALSE)),0,VLOOKUP($A48,'10 km'!$B$2:$D$50,3,FALSE))</f>
        <v>0</v>
      </c>
      <c r="M48" s="62">
        <f>IF(ISNA(VLOOKUP($A48,'Peter Moor 2000m'!$C$2:$C$30,1,FALSE)),0,VLOOKUP($A48,'Peter Moor 2000m'!$C$2:$I$30,7,FALSE))</f>
        <v>0</v>
      </c>
      <c r="N48" s="62">
        <f>IF(ISNA(VLOOKUP($A48,'Max Howard Tan handicap'!$C$2:$C$23,1,FALSE)),0,VLOOKUP($A48,'Max Howard Tan handicap'!$C$2:$I$23,7,FALSE))</f>
        <v>0</v>
      </c>
      <c r="O48" s="88">
        <f>IF(ISNA(VLOOKUP($A48,parkrun!$B$2:$H$145,1,FALSE)),0,VLOOKUP($A48,parkrun!$B$2:$H$145,7,FALSE))</f>
        <v>4.17</v>
      </c>
      <c r="P48" s="133">
        <f>SUM(F48:O48)</f>
        <v>187.48</v>
      </c>
      <c r="Q48" s="134">
        <f>COUNTIF(F48:O48,"&gt;0")</f>
        <v>5</v>
      </c>
      <c r="R48" s="215">
        <f>SMALL(F48:O48,1)+SMALL(F48:O48,2)</f>
        <v>0</v>
      </c>
      <c r="S48" s="215">
        <f>IF(Q48=1,P48,P48-R48)</f>
        <v>187.48</v>
      </c>
      <c r="T48" s="216">
        <f>RANK(P48,$P$5:$P$230,0)</f>
        <v>44</v>
      </c>
      <c r="U48" s="26">
        <f>RANK(S48,$S$5:$S$230,0)</f>
        <v>44</v>
      </c>
      <c r="W48" s="113">
        <v>29009</v>
      </c>
      <c r="X48" s="58"/>
      <c r="Y48" s="44"/>
      <c r="AD48" s="44"/>
    </row>
    <row r="49" spans="1:30" x14ac:dyDescent="0.2">
      <c r="A49" s="38" t="s">
        <v>287</v>
      </c>
      <c r="B49" s="81">
        <v>258</v>
      </c>
      <c r="C49" s="81" t="s">
        <v>233</v>
      </c>
      <c r="D49" s="146">
        <v>30232</v>
      </c>
      <c r="E49" s="81" t="s">
        <v>214</v>
      </c>
      <c r="F49" s="61">
        <f>IF(ISNA(VLOOKUP($A49,'2 Bridges Relay'!$F$2:$F$67,1,FALSE)),0,VLOOKUP($A49,'2 Bridges Relay'!$F$2:$J$67,5,FALSE))</f>
        <v>86.67</v>
      </c>
      <c r="G49" s="88">
        <f>IF(ISNA(VLOOKUP($A49,'5M''s'!$D$2:$E$27,1,FALSE)),0,VLOOKUP($A49,'5M''s'!$D$2:$E$27,2,FALSE))</f>
        <v>0</v>
      </c>
      <c r="H49" s="62">
        <f>IF(ISNA(VLOOKUP($A49,'Mile handicap'!$C$2:$C$51,1,FALSE)),0,VLOOKUP($A49,'Mile handicap'!$C$2:$K$51,9,FALSE))</f>
        <v>0</v>
      </c>
      <c r="I49" s="62">
        <f>IF(ISNA(VLOOKUP($A49,'5000m handicap'!$C$2:$C$46,1,FALSE)),0,VLOOKUP($A49,'5000m handicap'!$C$2:$K$46,9,FALSE))</f>
        <v>0</v>
      </c>
      <c r="J49" s="62">
        <f>IF(ISNA(VLOOKUP($A49,'KL handicap'!$C$2:$C$37,1,FALSE)),0,VLOOKUP($A49,'KL handicap'!$C$2:$I$37,7,FALSE))</f>
        <v>0</v>
      </c>
      <c r="K49" s="62">
        <f>IF(ISNA(VLOOKUP($A49,'3000m handicap'!$C$2:$C$47,1,FALSE)),0,VLOOKUP($A49,'3000m handicap'!$C$2:$K$47,9,FALSE))</f>
        <v>50</v>
      </c>
      <c r="L49" s="62">
        <f>IF(ISNA(VLOOKUP($A49,'10 km'!$B$2:$B$50,1,FALSE)),0,VLOOKUP($A49,'10 km'!$B$2:$D$50,3,FALSE))</f>
        <v>28.57</v>
      </c>
      <c r="M49" s="62">
        <f>IF(ISNA(VLOOKUP($A49,'Peter Moor 2000m'!$C$2:$C$30,1,FALSE)),0,VLOOKUP($A49,'Peter Moor 2000m'!$C$2:$I$30,7,FALSE))</f>
        <v>0</v>
      </c>
      <c r="N49" s="62">
        <f>IF(ISNA(VLOOKUP($A49,'Max Howard Tan handicap'!$C$2:$C$23,1,FALSE)),0,VLOOKUP($A49,'Max Howard Tan handicap'!$C$2:$I$23,7,FALSE))</f>
        <v>0</v>
      </c>
      <c r="O49" s="88">
        <f>IF(ISNA(VLOOKUP($A49,parkrun!$B$2:$H$145,1,FALSE)),0,VLOOKUP($A49,parkrun!$B$2:$H$145,7,FALSE))</f>
        <v>20.83</v>
      </c>
      <c r="P49" s="133">
        <f>SUM(F49:O49)</f>
        <v>186.07</v>
      </c>
      <c r="Q49" s="134">
        <f>COUNTIF(F49:O49,"&gt;0")</f>
        <v>4</v>
      </c>
      <c r="R49" s="215">
        <f>SMALL(F49:O49,1)+SMALL(F49:O49,2)</f>
        <v>0</v>
      </c>
      <c r="S49" s="215">
        <f>IF(Q49=1,P49,P49-R49)</f>
        <v>186.07</v>
      </c>
      <c r="T49" s="216">
        <f>RANK(P49,$P$5:$P$230,0)</f>
        <v>45</v>
      </c>
      <c r="U49" s="26">
        <f>RANK(S49,$S$5:$S$230,0)</f>
        <v>45</v>
      </c>
      <c r="W49" s="113">
        <v>27080</v>
      </c>
      <c r="X49" s="58"/>
      <c r="Y49" s="44"/>
      <c r="AD49" s="44"/>
    </row>
    <row r="50" spans="1:30" x14ac:dyDescent="0.2">
      <c r="A50" s="38" t="s">
        <v>107</v>
      </c>
      <c r="B50" s="81">
        <v>135</v>
      </c>
      <c r="C50" s="81" t="s">
        <v>233</v>
      </c>
      <c r="D50" s="146">
        <v>24057</v>
      </c>
      <c r="E50" s="81" t="s">
        <v>196</v>
      </c>
      <c r="F50" s="61">
        <f>IF(ISNA(VLOOKUP($A50,'2 Bridges Relay'!$F$2:$F$67,1,FALSE)),0,VLOOKUP($A50,'2 Bridges Relay'!$F$2:$J$67,5,FALSE))</f>
        <v>96.67</v>
      </c>
      <c r="G50" s="88">
        <f>IF(ISNA(VLOOKUP($A50,'5M''s'!$D$2:$E$27,1,FALSE)),0,VLOOKUP($A50,'5M''s'!$D$2:$E$27,2,FALSE))</f>
        <v>0</v>
      </c>
      <c r="H50" s="62">
        <f>IF(ISNA(VLOOKUP($A50,'Mile handicap'!$C$2:$C$51,1,FALSE)),0,VLOOKUP($A50,'Mile handicap'!$C$2:$K$51,9,FALSE))</f>
        <v>0</v>
      </c>
      <c r="I50" s="62">
        <f>IF(ISNA(VLOOKUP($A50,'5000m handicap'!$C$2:$C$46,1,FALSE)),0,VLOOKUP($A50,'5000m handicap'!$C$2:$K$46,9,FALSE))</f>
        <v>0</v>
      </c>
      <c r="J50" s="62">
        <f>IF(ISNA(VLOOKUP($A50,'KL handicap'!$C$2:$C$37,1,FALSE)),0,VLOOKUP($A50,'KL handicap'!$C$2:$I$37,7,FALSE))</f>
        <v>0</v>
      </c>
      <c r="K50" s="62">
        <f>IF(ISNA(VLOOKUP($A50,'3000m handicap'!$C$2:$C$47,1,FALSE)),0,VLOOKUP($A50,'3000m handicap'!$C$2:$K$47,9,FALSE))</f>
        <v>0</v>
      </c>
      <c r="L50" s="62">
        <f>IF(ISNA(VLOOKUP($A50,'10 km'!$B$2:$B$50,1,FALSE)),0,VLOOKUP($A50,'10 km'!$B$2:$D$50,3,FALSE))</f>
        <v>0</v>
      </c>
      <c r="M50" s="62">
        <f>IF(ISNA(VLOOKUP($A50,'Peter Moor 2000m'!$C$2:$C$30,1,FALSE)),0,VLOOKUP($A50,'Peter Moor 2000m'!$C$2:$I$30,7,FALSE))</f>
        <v>9.09</v>
      </c>
      <c r="N50" s="62">
        <f>IF(ISNA(VLOOKUP($A50,'Max Howard Tan handicap'!$C$2:$C$23,1,FALSE)),0,VLOOKUP($A50,'Max Howard Tan handicap'!$C$2:$I$23,7,FALSE))</f>
        <v>0</v>
      </c>
      <c r="O50" s="88">
        <f>IF(ISNA(VLOOKUP($A50,parkrun!$B$2:$H$145,1,FALSE)),0,VLOOKUP($A50,parkrun!$B$2:$H$145,7,FALSE))</f>
        <v>72.22</v>
      </c>
      <c r="P50" s="133">
        <f>SUM(F50:O50)</f>
        <v>177.98000000000002</v>
      </c>
      <c r="Q50" s="134">
        <f>COUNTIF(F50:O50,"&gt;0")</f>
        <v>3</v>
      </c>
      <c r="R50" s="215">
        <f>SMALL(F50:O50,1)+SMALL(F50:O50,2)</f>
        <v>0</v>
      </c>
      <c r="S50" s="215">
        <f>IF(Q50=1,P50,P50-R50)</f>
        <v>177.98000000000002</v>
      </c>
      <c r="T50" s="216">
        <f>RANK(P50,$P$5:$P$230,0)</f>
        <v>46</v>
      </c>
      <c r="U50" s="26">
        <f>RANK(S50,$S$5:$S$230,0)</f>
        <v>46</v>
      </c>
      <c r="W50" s="113">
        <v>26072</v>
      </c>
      <c r="X50" s="58"/>
      <c r="Y50" s="44"/>
      <c r="AD50" s="44"/>
    </row>
    <row r="51" spans="1:30" x14ac:dyDescent="0.2">
      <c r="A51" s="39" t="s">
        <v>222</v>
      </c>
      <c r="B51" s="81">
        <v>65</v>
      </c>
      <c r="C51" s="81" t="s">
        <v>233</v>
      </c>
      <c r="D51" s="146">
        <v>27166</v>
      </c>
      <c r="E51" s="81" t="s">
        <v>214</v>
      </c>
      <c r="F51" s="61">
        <f>IF(ISNA(VLOOKUP($A51,'2 Bridges Relay'!$F$2:$F$67,1,FALSE)),0,VLOOKUP($A51,'2 Bridges Relay'!$F$2:$J$67,5,FALSE))</f>
        <v>0</v>
      </c>
      <c r="G51" s="88">
        <f>IF(ISNA(VLOOKUP($A51,'5M''s'!$D$2:$E$27,1,FALSE)),0,VLOOKUP($A51,'5M''s'!$D$2:$E$27,2,FALSE))</f>
        <v>0</v>
      </c>
      <c r="H51" s="62">
        <f>IF(ISNA(VLOOKUP($A51,'Mile handicap'!$C$2:$C$51,1,FALSE)),0,VLOOKUP($A51,'Mile handicap'!$C$2:$K$51,9,FALSE))</f>
        <v>0</v>
      </c>
      <c r="I51" s="62">
        <f>IF(ISNA(VLOOKUP($A51,'5000m handicap'!$C$2:$C$46,1,FALSE)),0,VLOOKUP($A51,'5000m handicap'!$C$2:$K$46,9,FALSE))</f>
        <v>0</v>
      </c>
      <c r="J51" s="62">
        <f>IF(ISNA(VLOOKUP($A51,'KL handicap'!$C$2:$C$37,1,FALSE)),0,VLOOKUP($A51,'KL handicap'!$C$2:$I$37,7,FALSE))</f>
        <v>0</v>
      </c>
      <c r="K51" s="62">
        <f>IF(ISNA(VLOOKUP($A51,'3000m handicap'!$C$2:$C$47,1,FALSE)),0,VLOOKUP($A51,'3000m handicap'!$C$2:$K$47,9,FALSE))</f>
        <v>0</v>
      </c>
      <c r="L51" s="62">
        <f>IF(ISNA(VLOOKUP($A51,'10 km'!$B$2:$B$50,1,FALSE)),0,VLOOKUP($A51,'10 km'!$B$2:$D$50,3,FALSE))</f>
        <v>95.92</v>
      </c>
      <c r="M51" s="62">
        <f>IF(ISNA(VLOOKUP($A51,'Peter Moor 2000m'!$C$2:$C$30,1,FALSE)),0,VLOOKUP($A51,'Peter Moor 2000m'!$C$2:$I$30,7,FALSE))</f>
        <v>0</v>
      </c>
      <c r="N51" s="62">
        <f>IF(ISNA(VLOOKUP($A51,'Max Howard Tan handicap'!$C$2:$C$23,1,FALSE)),0,VLOOKUP($A51,'Max Howard Tan handicap'!$C$2:$I$23,7,FALSE))</f>
        <v>0</v>
      </c>
      <c r="O51" s="88">
        <f>IF(ISNA(VLOOKUP($A51,parkrun!$B$2:$H$145,1,FALSE)),0,VLOOKUP($A51,parkrun!$B$2:$H$145,7,FALSE))</f>
        <v>76.39</v>
      </c>
      <c r="P51" s="133">
        <f>SUM(F51:O51)</f>
        <v>172.31</v>
      </c>
      <c r="Q51" s="134">
        <f>COUNTIF(F51:O51,"&gt;0")</f>
        <v>2</v>
      </c>
      <c r="R51" s="215">
        <f>SMALL(F51:O51,1)+SMALL(F51:O51,2)</f>
        <v>0</v>
      </c>
      <c r="S51" s="215">
        <f>IF(Q51=1,P51,P51-R51)</f>
        <v>172.31</v>
      </c>
      <c r="T51" s="216">
        <f>RANK(P51,$P$5:$P$230,0)</f>
        <v>47</v>
      </c>
      <c r="U51" s="26">
        <f>RANK(S51,$S$5:$S$230,0)</f>
        <v>47</v>
      </c>
      <c r="W51" s="113">
        <v>25984</v>
      </c>
      <c r="X51" s="58"/>
      <c r="Y51" s="44"/>
      <c r="AD51" s="44"/>
    </row>
    <row r="52" spans="1:30" x14ac:dyDescent="0.2">
      <c r="A52" s="38" t="s">
        <v>169</v>
      </c>
      <c r="B52" s="81">
        <v>183</v>
      </c>
      <c r="C52" s="81" t="s">
        <v>233</v>
      </c>
      <c r="D52" s="146">
        <v>26193</v>
      </c>
      <c r="E52" s="81" t="s">
        <v>214</v>
      </c>
      <c r="F52" s="61">
        <f>IF(ISNA(VLOOKUP($A52,'2 Bridges Relay'!$F$2:$F$67,1,FALSE)),0,VLOOKUP($A52,'2 Bridges Relay'!$F$2:$J$67,5,FALSE))</f>
        <v>0</v>
      </c>
      <c r="G52" s="88">
        <f>IF(ISNA(VLOOKUP($A52,'5M''s'!$D$2:$E$27,1,FALSE)),0,VLOOKUP($A52,'5M''s'!$D$2:$E$27,2,FALSE))</f>
        <v>0</v>
      </c>
      <c r="H52" s="62">
        <f>IF(ISNA(VLOOKUP($A52,'Mile handicap'!$C$2:$C$51,1,FALSE)),0,VLOOKUP($A52,'Mile handicap'!$C$2:$K$51,9,FALSE))</f>
        <v>0</v>
      </c>
      <c r="I52" s="62">
        <f>IF(ISNA(VLOOKUP($A52,'5000m handicap'!$C$2:$C$46,1,FALSE)),0,VLOOKUP($A52,'5000m handicap'!$C$2:$K$46,9,FALSE))</f>
        <v>0</v>
      </c>
      <c r="J52" s="62">
        <f>IF(ISNA(VLOOKUP($A52,'KL handicap'!$C$2:$C$37,1,FALSE)),0,VLOOKUP($A52,'KL handicap'!$C$2:$I$37,7,FALSE))</f>
        <v>0</v>
      </c>
      <c r="K52" s="62">
        <f>IF(ISNA(VLOOKUP($A52,'3000m handicap'!$C$2:$C$47,1,FALSE)),0,VLOOKUP($A52,'3000m handicap'!$C$2:$K$47,9,FALSE))</f>
        <v>80.56</v>
      </c>
      <c r="L52" s="62">
        <f>IF(ISNA(VLOOKUP($A52,'10 km'!$B$2:$B$50,1,FALSE)),0,VLOOKUP($A52,'10 km'!$B$2:$D$50,3,FALSE))</f>
        <v>0</v>
      </c>
      <c r="M52" s="62">
        <f>IF(ISNA(VLOOKUP($A52,'Peter Moor 2000m'!$C$2:$C$30,1,FALSE)),0,VLOOKUP($A52,'Peter Moor 2000m'!$C$2:$I$30,7,FALSE))</f>
        <v>77.27</v>
      </c>
      <c r="N52" s="62">
        <f>IF(ISNA(VLOOKUP($A52,'Max Howard Tan handicap'!$C$2:$C$23,1,FALSE)),0,VLOOKUP($A52,'Max Howard Tan handicap'!$C$2:$I$23,7,FALSE))</f>
        <v>0</v>
      </c>
      <c r="O52" s="88">
        <f>IF(ISNA(VLOOKUP($A52,parkrun!$B$2:$H$145,1,FALSE)),0,VLOOKUP($A52,parkrun!$B$2:$H$145,7,FALSE))</f>
        <v>13.89</v>
      </c>
      <c r="P52" s="133">
        <f>SUM(F52:O52)</f>
        <v>171.71999999999997</v>
      </c>
      <c r="Q52" s="134">
        <f>COUNTIF(F52:O52,"&gt;0")</f>
        <v>3</v>
      </c>
      <c r="R52" s="215">
        <f>SMALL(F52:O52,1)+SMALL(F52:O52,2)</f>
        <v>0</v>
      </c>
      <c r="S52" s="215">
        <f>IF(Q52=1,P52,P52-R52)</f>
        <v>171.71999999999997</v>
      </c>
      <c r="T52" s="216">
        <f>RANK(P52,$P$5:$P$230,0)</f>
        <v>48</v>
      </c>
      <c r="U52" s="26">
        <f>RANK(S52,$S$5:$S$230,0)</f>
        <v>48</v>
      </c>
      <c r="W52" s="113">
        <v>28607</v>
      </c>
      <c r="X52" s="58"/>
      <c r="Y52" s="44"/>
      <c r="AD52" s="44"/>
    </row>
    <row r="53" spans="1:30" x14ac:dyDescent="0.2">
      <c r="A53" s="38" t="s">
        <v>211</v>
      </c>
      <c r="B53" s="81">
        <v>215</v>
      </c>
      <c r="C53" s="81" t="s">
        <v>233</v>
      </c>
      <c r="D53" s="146">
        <v>29171</v>
      </c>
      <c r="E53" s="81" t="s">
        <v>214</v>
      </c>
      <c r="F53" s="61">
        <f>IF(ISNA(VLOOKUP($A53,'2 Bridges Relay'!$F$2:$F$67,1,FALSE)),0,VLOOKUP($A53,'2 Bridges Relay'!$F$2:$J$67,5,FALSE))</f>
        <v>0</v>
      </c>
      <c r="G53" s="88">
        <f>IF(ISNA(VLOOKUP($A53,'5M''s'!$D$2:$E$27,1,FALSE)),0,VLOOKUP($A53,'5M''s'!$D$2:$E$27,2,FALSE))</f>
        <v>0</v>
      </c>
      <c r="H53" s="62">
        <f>IF(ISNA(VLOOKUP($A53,'Mile handicap'!$C$2:$C$51,1,FALSE)),0,VLOOKUP($A53,'Mile handicap'!$C$2:$K$51,9,FALSE))</f>
        <v>0</v>
      </c>
      <c r="I53" s="62">
        <f>IF(ISNA(VLOOKUP($A53,'5000m handicap'!$C$2:$C$46,1,FALSE)),0,VLOOKUP($A53,'5000m handicap'!$C$2:$K$46,9,FALSE))</f>
        <v>0</v>
      </c>
      <c r="J53" s="62">
        <f>IF(ISNA(VLOOKUP($A53,'KL handicap'!$C$2:$C$37,1,FALSE)),0,VLOOKUP($A53,'KL handicap'!$C$2:$I$37,7,FALSE))</f>
        <v>0</v>
      </c>
      <c r="K53" s="62">
        <f>IF(ISNA(VLOOKUP($A53,'3000m handicap'!$C$2:$C$47,1,FALSE)),0,VLOOKUP($A53,'3000m handicap'!$C$2:$K$47,9,FALSE))</f>
        <v>0</v>
      </c>
      <c r="L53" s="62">
        <f>IF(ISNA(VLOOKUP($A53,'10 km'!$B$2:$B$50,1,FALSE)),0,VLOOKUP($A53,'10 km'!$B$2:$D$50,3,FALSE))</f>
        <v>97.96</v>
      </c>
      <c r="M53" s="62">
        <f>IF(ISNA(VLOOKUP($A53,'Peter Moor 2000m'!$C$2:$C$30,1,FALSE)),0,VLOOKUP($A53,'Peter Moor 2000m'!$C$2:$I$30,7,FALSE))</f>
        <v>0</v>
      </c>
      <c r="N53" s="62">
        <f>IF(ISNA(VLOOKUP($A53,'Max Howard Tan handicap'!$C$2:$C$23,1,FALSE)),0,VLOOKUP($A53,'Max Howard Tan handicap'!$C$2:$I$23,7,FALSE))</f>
        <v>0</v>
      </c>
      <c r="O53" s="88">
        <f>IF(ISNA(VLOOKUP($A53,parkrun!$B$2:$H$145,1,FALSE)),0,VLOOKUP($A53,parkrun!$B$2:$H$145,7,FALSE))</f>
        <v>70.14</v>
      </c>
      <c r="P53" s="133">
        <f>SUM(F53:O53)</f>
        <v>168.1</v>
      </c>
      <c r="Q53" s="134">
        <f>COUNTIF(F53:O53,"&gt;0")</f>
        <v>2</v>
      </c>
      <c r="R53" s="215">
        <f>SMALL(F53:O53,1)+SMALL(F53:O53,2)</f>
        <v>0</v>
      </c>
      <c r="S53" s="215">
        <f>IF(Q53=1,P53,P53-R53)</f>
        <v>168.1</v>
      </c>
      <c r="T53" s="216">
        <f>RANK(P53,$P$5:$P$230,0)</f>
        <v>49</v>
      </c>
      <c r="U53" s="26">
        <f>RANK(S53,$S$5:$S$230,0)</f>
        <v>49</v>
      </c>
      <c r="W53" s="113">
        <v>28709</v>
      </c>
      <c r="X53" s="58"/>
      <c r="Y53" s="44"/>
      <c r="AD53" s="44"/>
    </row>
    <row r="54" spans="1:30" x14ac:dyDescent="0.2">
      <c r="A54" s="38" t="s">
        <v>82</v>
      </c>
      <c r="B54" s="81">
        <v>37</v>
      </c>
      <c r="C54" s="81" t="s">
        <v>233</v>
      </c>
      <c r="D54" s="146">
        <v>27341</v>
      </c>
      <c r="E54" s="81" t="s">
        <v>214</v>
      </c>
      <c r="F54" s="61">
        <f>IF(ISNA(VLOOKUP($A54,'2 Bridges Relay'!$F$2:$F$67,1,FALSE)),0,VLOOKUP($A54,'2 Bridges Relay'!$F$2:$J$67,5,FALSE))</f>
        <v>96.67</v>
      </c>
      <c r="G54" s="88">
        <f>IF(ISNA(VLOOKUP($A54,'5M''s'!$D$2:$E$27,1,FALSE)),0,VLOOKUP($A54,'5M''s'!$D$2:$E$27,2,FALSE))</f>
        <v>0</v>
      </c>
      <c r="H54" s="62">
        <f>IF(ISNA(VLOOKUP($A54,'Mile handicap'!$C$2:$C$51,1,FALSE)),0,VLOOKUP($A54,'Mile handicap'!$C$2:$K$51,9,FALSE))</f>
        <v>0</v>
      </c>
      <c r="I54" s="62">
        <f>IF(ISNA(VLOOKUP($A54,'5000m handicap'!$C$2:$C$46,1,FALSE)),0,VLOOKUP($A54,'5000m handicap'!$C$2:$K$46,9,FALSE))</f>
        <v>0</v>
      </c>
      <c r="J54" s="62">
        <f>IF(ISNA(VLOOKUP($A54,'KL handicap'!$C$2:$C$37,1,FALSE)),0,VLOOKUP($A54,'KL handicap'!$C$2:$I$37,7,FALSE))</f>
        <v>0</v>
      </c>
      <c r="K54" s="62">
        <f>IF(ISNA(VLOOKUP($A54,'3000m handicap'!$C$2:$C$47,1,FALSE)),0,VLOOKUP($A54,'3000m handicap'!$C$2:$K$47,9,FALSE))</f>
        <v>0</v>
      </c>
      <c r="L54" s="62">
        <f>IF(ISNA(VLOOKUP($A54,'10 km'!$B$2:$B$50,1,FALSE)),0,VLOOKUP($A54,'10 km'!$B$2:$D$50,3,FALSE))</f>
        <v>0</v>
      </c>
      <c r="M54" s="62">
        <f>IF(ISNA(VLOOKUP($A54,'Peter Moor 2000m'!$C$2:$C$30,1,FALSE)),0,VLOOKUP($A54,'Peter Moor 2000m'!$C$2:$I$30,7,FALSE))</f>
        <v>0</v>
      </c>
      <c r="N54" s="62">
        <f>IF(ISNA(VLOOKUP($A54,'Max Howard Tan handicap'!$C$2:$C$23,1,FALSE)),0,VLOOKUP($A54,'Max Howard Tan handicap'!$C$2:$I$23,7,FALSE))</f>
        <v>0</v>
      </c>
      <c r="O54" s="88">
        <f>IF(ISNA(VLOOKUP($A54,parkrun!$B$2:$H$145,1,FALSE)),0,VLOOKUP($A54,parkrun!$B$2:$H$145,7,FALSE))</f>
        <v>70.14</v>
      </c>
      <c r="P54" s="133">
        <f>SUM(F54:O54)</f>
        <v>166.81</v>
      </c>
      <c r="Q54" s="134">
        <f>COUNTIF(F54:O54,"&gt;0")</f>
        <v>2</v>
      </c>
      <c r="R54" s="215">
        <f>SMALL(F54:O54,1)+SMALL(F54:O54,2)</f>
        <v>0</v>
      </c>
      <c r="S54" s="215">
        <f>IF(Q54=1,P54,P54-R54)</f>
        <v>166.81</v>
      </c>
      <c r="T54" s="216">
        <f>RANK(P54,$P$5:$P$230,0)</f>
        <v>50</v>
      </c>
      <c r="U54" s="26">
        <f>RANK(S54,$S$5:$S$230,0)</f>
        <v>50</v>
      </c>
      <c r="W54" s="113">
        <v>24057</v>
      </c>
      <c r="X54" s="58"/>
      <c r="Y54" s="44"/>
      <c r="AD54" s="44"/>
    </row>
    <row r="55" spans="1:30" x14ac:dyDescent="0.2">
      <c r="A55" s="38" t="s">
        <v>53</v>
      </c>
      <c r="B55" s="81">
        <v>95</v>
      </c>
      <c r="C55" s="81" t="s">
        <v>233</v>
      </c>
      <c r="D55" s="146">
        <v>27917</v>
      </c>
      <c r="E55" s="81" t="s">
        <v>214</v>
      </c>
      <c r="F55" s="61">
        <f>IF(ISNA(VLOOKUP($A55,'2 Bridges Relay'!$F$2:$F$67,1,FALSE)),0,VLOOKUP($A55,'2 Bridges Relay'!$F$2:$J$67,5,FALSE))</f>
        <v>0</v>
      </c>
      <c r="G55" s="88">
        <f>IF(ISNA(VLOOKUP($A55,'5M''s'!$D$2:$E$27,1,FALSE)),0,VLOOKUP($A55,'5M''s'!$D$2:$E$27,2,FALSE))</f>
        <v>0</v>
      </c>
      <c r="H55" s="62">
        <f>IF(ISNA(VLOOKUP($A55,'Mile handicap'!$C$2:$C$51,1,FALSE)),0,VLOOKUP($A55,'Mile handicap'!$C$2:$K$51,9,FALSE))</f>
        <v>0</v>
      </c>
      <c r="I55" s="62">
        <f>IF(ISNA(VLOOKUP($A55,'5000m handicap'!$C$2:$C$46,1,FALSE)),0,VLOOKUP($A55,'5000m handicap'!$C$2:$K$46,9,FALSE))</f>
        <v>97.37</v>
      </c>
      <c r="J55" s="62">
        <f>IF(ISNA(VLOOKUP($A55,'KL handicap'!$C$2:$C$37,1,FALSE)),0,VLOOKUP($A55,'KL handicap'!$C$2:$I$37,7,FALSE))</f>
        <v>0</v>
      </c>
      <c r="K55" s="62">
        <f>IF(ISNA(VLOOKUP($A55,'3000m handicap'!$C$2:$C$47,1,FALSE)),0,VLOOKUP($A55,'3000m handicap'!$C$2:$K$47,9,FALSE))</f>
        <v>0</v>
      </c>
      <c r="L55" s="62">
        <f>IF(ISNA(VLOOKUP($A55,'10 km'!$B$2:$B$50,1,FALSE)),0,VLOOKUP($A55,'10 km'!$B$2:$D$50,3,FALSE))</f>
        <v>0</v>
      </c>
      <c r="M55" s="62">
        <f>IF(ISNA(VLOOKUP($A55,'Peter Moor 2000m'!$C$2:$C$30,1,FALSE)),0,VLOOKUP($A55,'Peter Moor 2000m'!$C$2:$I$30,7,FALSE))</f>
        <v>0</v>
      </c>
      <c r="N55" s="62">
        <f>IF(ISNA(VLOOKUP($A55,'Max Howard Tan handicap'!$C$2:$C$23,1,FALSE)),0,VLOOKUP($A55,'Max Howard Tan handicap'!$C$2:$I$23,7,FALSE))</f>
        <v>0</v>
      </c>
      <c r="O55" s="88">
        <f>IF(ISNA(VLOOKUP($A55,parkrun!$B$2:$H$145,1,FALSE)),0,VLOOKUP($A55,parkrun!$B$2:$H$145,7,FALSE))</f>
        <v>64.58</v>
      </c>
      <c r="P55" s="133">
        <f>SUM(F55:O55)</f>
        <v>161.94999999999999</v>
      </c>
      <c r="Q55" s="134">
        <f>COUNTIF(F55:O55,"&gt;0")</f>
        <v>2</v>
      </c>
      <c r="R55" s="215">
        <f>SMALL(F55:O55,1)+SMALL(F55:O55,2)</f>
        <v>0</v>
      </c>
      <c r="S55" s="215">
        <f>IF(Q55=1,P55,P55-R55)</f>
        <v>161.94999999999999</v>
      </c>
      <c r="T55" s="216">
        <f>RANK(P55,$P$5:$P$230,0)</f>
        <v>51</v>
      </c>
      <c r="U55" s="26">
        <f>RANK(S55,$S$5:$S$230,0)</f>
        <v>51</v>
      </c>
      <c r="W55" s="113">
        <v>28179</v>
      </c>
      <c r="X55" s="58"/>
      <c r="Y55" s="44"/>
      <c r="AD55" s="44"/>
    </row>
    <row r="56" spans="1:30" x14ac:dyDescent="0.2">
      <c r="A56" s="38" t="s">
        <v>199</v>
      </c>
      <c r="B56" s="81">
        <v>227</v>
      </c>
      <c r="C56" s="81" t="s">
        <v>233</v>
      </c>
      <c r="D56" s="146">
        <v>29132</v>
      </c>
      <c r="E56" s="81" t="s">
        <v>214</v>
      </c>
      <c r="F56" s="61">
        <f>IF(ISNA(VLOOKUP($A56,'2 Bridges Relay'!$F$2:$F$67,1,FALSE)),0,VLOOKUP($A56,'2 Bridges Relay'!$F$2:$J$67,5,FALSE))</f>
        <v>0</v>
      </c>
      <c r="G56" s="88">
        <f>IF(ISNA(VLOOKUP($A56,'5M''s'!$D$2:$E$27,1,FALSE)),0,VLOOKUP($A56,'5M''s'!$D$2:$E$27,2,FALSE))</f>
        <v>60</v>
      </c>
      <c r="H56" s="62">
        <f>IF(ISNA(VLOOKUP($A56,'Mile handicap'!$C$2:$C$51,1,FALSE)),0,VLOOKUP($A56,'Mile handicap'!$C$2:$K$51,9,FALSE))</f>
        <v>0</v>
      </c>
      <c r="I56" s="62">
        <f>IF(ISNA(VLOOKUP($A56,'5000m handicap'!$C$2:$C$46,1,FALSE)),0,VLOOKUP($A56,'5000m handicap'!$C$2:$K$46,9,FALSE))</f>
        <v>0</v>
      </c>
      <c r="J56" s="62">
        <f>IF(ISNA(VLOOKUP($A56,'KL handicap'!$C$2:$C$37,1,FALSE)),0,VLOOKUP($A56,'KL handicap'!$C$2:$I$37,7,FALSE))</f>
        <v>10.71</v>
      </c>
      <c r="K56" s="62">
        <f>IF(ISNA(VLOOKUP($A56,'3000m handicap'!$C$2:$C$47,1,FALSE)),0,VLOOKUP($A56,'3000m handicap'!$C$2:$K$47,9,FALSE))</f>
        <v>0</v>
      </c>
      <c r="L56" s="62">
        <f>IF(ISNA(VLOOKUP($A56,'10 km'!$B$2:$B$50,1,FALSE)),0,VLOOKUP($A56,'10 km'!$B$2:$D$50,3,FALSE))</f>
        <v>0</v>
      </c>
      <c r="M56" s="62">
        <f>IF(ISNA(VLOOKUP($A56,'Peter Moor 2000m'!$C$2:$C$30,1,FALSE)),0,VLOOKUP($A56,'Peter Moor 2000m'!$C$2:$I$30,7,FALSE))</f>
        <v>0</v>
      </c>
      <c r="N56" s="62">
        <f>IF(ISNA(VLOOKUP($A56,'Max Howard Tan handicap'!$C$2:$C$23,1,FALSE)),0,VLOOKUP($A56,'Max Howard Tan handicap'!$C$2:$I$23,7,FALSE))</f>
        <v>0</v>
      </c>
      <c r="O56" s="88">
        <f>IF(ISNA(VLOOKUP($A56,parkrun!$B$2:$H$145,1,FALSE)),0,VLOOKUP($A56,parkrun!$B$2:$H$145,7,FALSE))</f>
        <v>88.89</v>
      </c>
      <c r="P56" s="133">
        <f>SUM(F56:O56)</f>
        <v>159.60000000000002</v>
      </c>
      <c r="Q56" s="134">
        <f>COUNTIF(F56:O56,"&gt;0")</f>
        <v>3</v>
      </c>
      <c r="R56" s="215">
        <f>SMALL(F56:O56,1)+SMALL(F56:O56,2)</f>
        <v>0</v>
      </c>
      <c r="S56" s="215">
        <f>IF(Q56=1,P56,P56-R56)</f>
        <v>159.60000000000002</v>
      </c>
      <c r="T56" s="216">
        <f>RANK(P56,$P$5:$P$230,0)</f>
        <v>52</v>
      </c>
      <c r="U56" s="26">
        <f>RANK(S56,$S$5:$S$230,0)</f>
        <v>52</v>
      </c>
      <c r="W56" s="113">
        <v>24643</v>
      </c>
      <c r="X56" s="58"/>
      <c r="Y56" s="44"/>
      <c r="AD56" s="44"/>
    </row>
    <row r="57" spans="1:30" x14ac:dyDescent="0.2">
      <c r="A57" s="38" t="s">
        <v>81</v>
      </c>
      <c r="B57" s="81">
        <v>93</v>
      </c>
      <c r="C57" s="81" t="s">
        <v>233</v>
      </c>
      <c r="D57" s="146">
        <v>29009</v>
      </c>
      <c r="E57" s="81" t="s">
        <v>214</v>
      </c>
      <c r="F57" s="61">
        <f>IF(ISNA(VLOOKUP($A57,'2 Bridges Relay'!$F$2:$F$67,1,FALSE)),0,VLOOKUP($A57,'2 Bridges Relay'!$F$2:$J$67,5,FALSE))</f>
        <v>0</v>
      </c>
      <c r="G57" s="88">
        <f>IF(ISNA(VLOOKUP($A57,'5M''s'!$D$2:$E$27,1,FALSE)),0,VLOOKUP($A57,'5M''s'!$D$2:$E$27,2,FALSE))</f>
        <v>0</v>
      </c>
      <c r="H57" s="62">
        <f>IF(ISNA(VLOOKUP($A57,'Mile handicap'!$C$2:$C$51,1,FALSE)),0,VLOOKUP($A57,'Mile handicap'!$C$2:$K$51,9,FALSE))</f>
        <v>0</v>
      </c>
      <c r="I57" s="62">
        <f>IF(ISNA(VLOOKUP($A57,'5000m handicap'!$C$2:$C$46,1,FALSE)),0,VLOOKUP($A57,'5000m handicap'!$C$2:$K$46,9,FALSE))</f>
        <v>0</v>
      </c>
      <c r="J57" s="62">
        <f>IF(ISNA(VLOOKUP($A57,'KL handicap'!$C$2:$C$37,1,FALSE)),0,VLOOKUP($A57,'KL handicap'!$C$2:$I$37,7,FALSE))</f>
        <v>0</v>
      </c>
      <c r="K57" s="62">
        <f>IF(ISNA(VLOOKUP($A57,'3000m handicap'!$C$2:$C$47,1,FALSE)),0,VLOOKUP($A57,'3000m handicap'!$C$2:$K$47,9,FALSE))</f>
        <v>0</v>
      </c>
      <c r="L57" s="62">
        <f>IF(ISNA(VLOOKUP($A57,'10 km'!$B$2:$B$50,1,FALSE)),0,VLOOKUP($A57,'10 km'!$B$2:$D$50,3,FALSE))</f>
        <v>0</v>
      </c>
      <c r="M57" s="62">
        <f>IF(ISNA(VLOOKUP($A57,'Peter Moor 2000m'!$C$2:$C$30,1,FALSE)),0,VLOOKUP($A57,'Peter Moor 2000m'!$C$2:$I$30,7,FALSE))</f>
        <v>0</v>
      </c>
      <c r="N57" s="62">
        <f>IF(ISNA(VLOOKUP($A57,'Max Howard Tan handicap'!$C$2:$C$23,1,FALSE)),0,VLOOKUP($A57,'Max Howard Tan handicap'!$C$2:$I$23,7,FALSE))</f>
        <v>87.5</v>
      </c>
      <c r="O57" s="88">
        <f>IF(ISNA(VLOOKUP($A57,parkrun!$B$2:$H$145,1,FALSE)),0,VLOOKUP($A57,parkrun!$B$2:$H$145,7,FALSE))</f>
        <v>70.14</v>
      </c>
      <c r="P57" s="133">
        <f>SUM(F57:O57)</f>
        <v>157.63999999999999</v>
      </c>
      <c r="Q57" s="134">
        <f>COUNTIF(F57:O57,"&gt;0")</f>
        <v>2</v>
      </c>
      <c r="R57" s="215">
        <f>SMALL(F57:O57,1)+SMALL(F57:O57,2)</f>
        <v>0</v>
      </c>
      <c r="S57" s="215">
        <f>IF(Q57=1,P57,P57-R57)</f>
        <v>157.63999999999999</v>
      </c>
      <c r="T57" s="216">
        <f>RANK(P57,$P$5:$P$230,0)</f>
        <v>53</v>
      </c>
      <c r="U57" s="26">
        <f>RANK(S57,$S$5:$S$230,0)</f>
        <v>53</v>
      </c>
      <c r="W57" s="113">
        <v>27487</v>
      </c>
      <c r="X57" s="58"/>
      <c r="Y57" s="44"/>
      <c r="AD57" s="44"/>
    </row>
    <row r="58" spans="1:30" x14ac:dyDescent="0.2">
      <c r="A58" s="38" t="s">
        <v>105</v>
      </c>
      <c r="B58" s="81">
        <v>71</v>
      </c>
      <c r="C58" s="81" t="s">
        <v>233</v>
      </c>
      <c r="D58" s="146">
        <v>28607</v>
      </c>
      <c r="E58" s="81" t="s">
        <v>214</v>
      </c>
      <c r="F58" s="61">
        <f>IF(ISNA(VLOOKUP($A58,'2 Bridges Relay'!$F$2:$F$67,1,FALSE)),0,VLOOKUP($A58,'2 Bridges Relay'!$F$2:$J$67,5,FALSE))</f>
        <v>90</v>
      </c>
      <c r="G58" s="88">
        <f>IF(ISNA(VLOOKUP($A58,'5M''s'!$D$2:$E$27,1,FALSE)),0,VLOOKUP($A58,'5M''s'!$D$2:$E$27,2,FALSE))</f>
        <v>0</v>
      </c>
      <c r="H58" s="62">
        <f>IF(ISNA(VLOOKUP($A58,'Mile handicap'!$C$2:$C$51,1,FALSE)),0,VLOOKUP($A58,'Mile handicap'!$C$2:$K$51,9,FALSE))</f>
        <v>0</v>
      </c>
      <c r="I58" s="62">
        <f>IF(ISNA(VLOOKUP($A58,'5000m handicap'!$C$2:$C$46,1,FALSE)),0,VLOOKUP($A58,'5000m handicap'!$C$2:$K$46,9,FALSE))</f>
        <v>0</v>
      </c>
      <c r="J58" s="62">
        <f>IF(ISNA(VLOOKUP($A58,'KL handicap'!$C$2:$C$37,1,FALSE)),0,VLOOKUP($A58,'KL handicap'!$C$2:$I$37,7,FALSE))</f>
        <v>0</v>
      </c>
      <c r="K58" s="62">
        <f>IF(ISNA(VLOOKUP($A58,'3000m handicap'!$C$2:$C$47,1,FALSE)),0,VLOOKUP($A58,'3000m handicap'!$C$2:$K$47,9,FALSE))</f>
        <v>0</v>
      </c>
      <c r="L58" s="62">
        <f>IF(ISNA(VLOOKUP($A58,'10 km'!$B$2:$B$50,1,FALSE)),0,VLOOKUP($A58,'10 km'!$B$2:$D$50,3,FALSE))</f>
        <v>0</v>
      </c>
      <c r="M58" s="62">
        <f>IF(ISNA(VLOOKUP($A58,'Peter Moor 2000m'!$C$2:$C$30,1,FALSE)),0,VLOOKUP($A58,'Peter Moor 2000m'!$C$2:$I$30,7,FALSE))</f>
        <v>0</v>
      </c>
      <c r="N58" s="62">
        <f>IF(ISNA(VLOOKUP($A58,'Max Howard Tan handicap'!$C$2:$C$23,1,FALSE)),0,VLOOKUP($A58,'Max Howard Tan handicap'!$C$2:$I$23,7,FALSE))</f>
        <v>0</v>
      </c>
      <c r="O58" s="88">
        <f>IF(ISNA(VLOOKUP($A58,parkrun!$B$2:$H$145,1,FALSE)),0,VLOOKUP($A58,parkrun!$B$2:$H$145,7,FALSE))</f>
        <v>65.28</v>
      </c>
      <c r="P58" s="133">
        <f>SUM(F58:O58)</f>
        <v>155.28</v>
      </c>
      <c r="Q58" s="134">
        <f>COUNTIF(F58:O58,"&gt;0")</f>
        <v>2</v>
      </c>
      <c r="R58" s="215">
        <f>SMALL(F58:O58,1)+SMALL(F58:O58,2)</f>
        <v>0</v>
      </c>
      <c r="S58" s="215">
        <f>IF(Q58=1,P58,P58-R58)</f>
        <v>155.28</v>
      </c>
      <c r="T58" s="216">
        <f>RANK(P58,$P$5:$P$230,0)</f>
        <v>54</v>
      </c>
      <c r="U58" s="26">
        <f>RANK(S58,$S$5:$S$230,0)</f>
        <v>54</v>
      </c>
      <c r="W58" s="113">
        <v>27190</v>
      </c>
      <c r="X58" s="58"/>
      <c r="Y58" s="44"/>
      <c r="AD58" s="44"/>
    </row>
    <row r="59" spans="1:30" x14ac:dyDescent="0.2">
      <c r="A59" s="38" t="s">
        <v>176</v>
      </c>
      <c r="B59" s="81">
        <v>189</v>
      </c>
      <c r="C59" s="81" t="s">
        <v>233</v>
      </c>
      <c r="D59" s="146">
        <v>30275</v>
      </c>
      <c r="E59" s="81" t="s">
        <v>214</v>
      </c>
      <c r="F59" s="61">
        <f>IF(ISNA(VLOOKUP($A59,'2 Bridges Relay'!$F$2:$F$67,1,FALSE)),0,VLOOKUP($A59,'2 Bridges Relay'!$F$2:$J$67,5,FALSE))</f>
        <v>0</v>
      </c>
      <c r="G59" s="88">
        <f>IF(ISNA(VLOOKUP($A59,'5M''s'!$D$2:$E$27,1,FALSE)),0,VLOOKUP($A59,'5M''s'!$D$2:$E$27,2,FALSE))</f>
        <v>0</v>
      </c>
      <c r="H59" s="62">
        <f>IF(ISNA(VLOOKUP($A59,'Mile handicap'!$C$2:$C$51,1,FALSE)),0,VLOOKUP($A59,'Mile handicap'!$C$2:$K$51,9,FALSE))</f>
        <v>0</v>
      </c>
      <c r="I59" s="62">
        <f>IF(ISNA(VLOOKUP($A59,'5000m handicap'!$C$2:$C$46,1,FALSE)),0,VLOOKUP($A59,'5000m handicap'!$C$2:$K$46,9,FALSE))</f>
        <v>0</v>
      </c>
      <c r="J59" s="62">
        <f>IF(ISNA(VLOOKUP($A59,'KL handicap'!$C$2:$C$37,1,FALSE)),0,VLOOKUP($A59,'KL handicap'!$C$2:$I$37,7,FALSE))</f>
        <v>0</v>
      </c>
      <c r="K59" s="62">
        <f>IF(ISNA(VLOOKUP($A59,'3000m handicap'!$C$2:$C$47,1,FALSE)),0,VLOOKUP($A59,'3000m handicap'!$C$2:$K$47,9,FALSE))</f>
        <v>0</v>
      </c>
      <c r="L59" s="62">
        <f>IF(ISNA(VLOOKUP($A59,'10 km'!$B$2:$B$50,1,FALSE)),0,VLOOKUP($A59,'10 km'!$B$2:$D$50,3,FALSE))</f>
        <v>87.76</v>
      </c>
      <c r="M59" s="62">
        <f>IF(ISNA(VLOOKUP($A59,'Peter Moor 2000m'!$C$2:$C$30,1,FALSE)),0,VLOOKUP($A59,'Peter Moor 2000m'!$C$2:$I$30,7,FALSE))</f>
        <v>0</v>
      </c>
      <c r="N59" s="62">
        <f>IF(ISNA(VLOOKUP($A59,'Max Howard Tan handicap'!$C$2:$C$23,1,FALSE)),0,VLOOKUP($A59,'Max Howard Tan handicap'!$C$2:$I$23,7,FALSE))</f>
        <v>0</v>
      </c>
      <c r="O59" s="88">
        <f>IF(ISNA(VLOOKUP($A59,parkrun!$B$2:$H$145,1,FALSE)),0,VLOOKUP($A59,parkrun!$B$2:$H$145,7,FALSE))</f>
        <v>67.36</v>
      </c>
      <c r="P59" s="133">
        <f>SUM(F59:O59)</f>
        <v>155.12</v>
      </c>
      <c r="Q59" s="134">
        <f>COUNTIF(F59:O59,"&gt;0")</f>
        <v>2</v>
      </c>
      <c r="R59" s="215">
        <f>SMALL(F59:O59,1)+SMALL(F59:O59,2)</f>
        <v>0</v>
      </c>
      <c r="S59" s="215">
        <f>IF(Q59=1,P59,P59-R59)</f>
        <v>155.12</v>
      </c>
      <c r="T59" s="216">
        <f>RANK(P59,$P$5:$P$230,0)</f>
        <v>55</v>
      </c>
      <c r="U59" s="26">
        <f>RANK(S59,$S$5:$S$230,0)</f>
        <v>55</v>
      </c>
      <c r="W59" s="113">
        <v>29729</v>
      </c>
      <c r="X59" s="58"/>
      <c r="Y59" s="44"/>
      <c r="AD59" s="44"/>
    </row>
    <row r="60" spans="1:30" x14ac:dyDescent="0.2">
      <c r="A60" s="38" t="s">
        <v>126</v>
      </c>
      <c r="B60" s="81">
        <v>152</v>
      </c>
      <c r="C60" s="81" t="s">
        <v>233</v>
      </c>
      <c r="D60" s="146">
        <v>25831</v>
      </c>
      <c r="E60" s="81" t="s">
        <v>214</v>
      </c>
      <c r="F60" s="61">
        <f>IF(ISNA(VLOOKUP($A60,'2 Bridges Relay'!$F$2:$F$67,1,FALSE)),0,VLOOKUP($A60,'2 Bridges Relay'!$F$2:$J$67,5,FALSE))</f>
        <v>0</v>
      </c>
      <c r="G60" s="88">
        <f>IF(ISNA(VLOOKUP($A60,'5M''s'!$D$2:$E$27,1,FALSE)),0,VLOOKUP($A60,'5M''s'!$D$2:$E$27,2,FALSE))</f>
        <v>0</v>
      </c>
      <c r="H60" s="62">
        <f>IF(ISNA(VLOOKUP($A60,'Mile handicap'!$C$2:$C$51,1,FALSE)),0,VLOOKUP($A60,'Mile handicap'!$C$2:$K$51,9,FALSE))</f>
        <v>0</v>
      </c>
      <c r="I60" s="62">
        <f>IF(ISNA(VLOOKUP($A60,'5000m handicap'!$C$2:$C$46,1,FALSE)),0,VLOOKUP($A60,'5000m handicap'!$C$2:$K$46,9,FALSE))</f>
        <v>0</v>
      </c>
      <c r="J60" s="62">
        <f>IF(ISNA(VLOOKUP($A60,'KL handicap'!$C$2:$C$37,1,FALSE)),0,VLOOKUP($A60,'KL handicap'!$C$2:$I$37,7,FALSE))</f>
        <v>0</v>
      </c>
      <c r="K60" s="62">
        <f>IF(ISNA(VLOOKUP($A60,'3000m handicap'!$C$2:$C$47,1,FALSE)),0,VLOOKUP($A60,'3000m handicap'!$C$2:$K$47,9,FALSE))</f>
        <v>0</v>
      </c>
      <c r="L60" s="62">
        <f>IF(ISNA(VLOOKUP($A60,'10 km'!$B$2:$B$50,1,FALSE)),0,VLOOKUP($A60,'10 km'!$B$2:$D$50,3,FALSE))</f>
        <v>61.22</v>
      </c>
      <c r="M60" s="62">
        <f>IF(ISNA(VLOOKUP($A60,'Peter Moor 2000m'!$C$2:$C$30,1,FALSE)),0,VLOOKUP($A60,'Peter Moor 2000m'!$C$2:$I$30,7,FALSE))</f>
        <v>0</v>
      </c>
      <c r="N60" s="62">
        <f>IF(ISNA(VLOOKUP($A60,'Max Howard Tan handicap'!$C$2:$C$23,1,FALSE)),0,VLOOKUP($A60,'Max Howard Tan handicap'!$C$2:$I$23,7,FALSE))</f>
        <v>0</v>
      </c>
      <c r="O60" s="88">
        <f>IF(ISNA(VLOOKUP($A60,parkrun!$B$2:$H$145,1,FALSE)),0,VLOOKUP($A60,parkrun!$B$2:$H$145,7,FALSE))</f>
        <v>93.75</v>
      </c>
      <c r="P60" s="133">
        <f>SUM(F60:O60)</f>
        <v>154.97</v>
      </c>
      <c r="Q60" s="134">
        <f>COUNTIF(F60:O60,"&gt;0")</f>
        <v>2</v>
      </c>
      <c r="R60" s="215">
        <f>SMALL(F60:O60,1)+SMALL(F60:O60,2)</f>
        <v>0</v>
      </c>
      <c r="S60" s="215">
        <f>IF(Q60=1,P60,P60-R60)</f>
        <v>154.97</v>
      </c>
      <c r="T60" s="216">
        <f>RANK(P60,$P$5:$P$230,0)</f>
        <v>56</v>
      </c>
      <c r="U60" s="26">
        <f>RANK(S60,$S$5:$S$230,0)</f>
        <v>56</v>
      </c>
      <c r="W60" s="113">
        <v>28651</v>
      </c>
      <c r="X60" s="58"/>
      <c r="Y60" s="44"/>
      <c r="AD60" s="44"/>
    </row>
    <row r="61" spans="1:30" x14ac:dyDescent="0.2">
      <c r="A61" s="38" t="s">
        <v>323</v>
      </c>
      <c r="B61" s="81">
        <v>273</v>
      </c>
      <c r="C61" s="81" t="s">
        <v>233</v>
      </c>
      <c r="D61" s="146">
        <v>26125</v>
      </c>
      <c r="E61" s="81" t="s">
        <v>214</v>
      </c>
      <c r="F61" s="61">
        <f>IF(ISNA(VLOOKUP($A61,'2 Bridges Relay'!$F$2:$F$67,1,FALSE)),0,VLOOKUP($A61,'2 Bridges Relay'!$F$2:$J$67,5,FALSE))</f>
        <v>86.67</v>
      </c>
      <c r="G61" s="88">
        <f>IF(ISNA(VLOOKUP($A61,'5M''s'!$D$2:$E$27,1,FALSE)),0,VLOOKUP($A61,'5M''s'!$D$2:$E$27,2,FALSE))</f>
        <v>0</v>
      </c>
      <c r="H61" s="88">
        <f>IF(ISNA(VLOOKUP($A61,'Mile handicap'!$C$2:$C$51,1,FALSE)),0,VLOOKUP($A61,'Mile handicap'!$C$2:$K$51,9,FALSE))</f>
        <v>0</v>
      </c>
      <c r="I61" s="62">
        <f>IF(ISNA(VLOOKUP($A61,'5000m handicap'!$C$2:$C$46,1,FALSE)),0,VLOOKUP($A61,'5000m handicap'!$C$2:$K$46,9,FALSE))</f>
        <v>0</v>
      </c>
      <c r="J61" s="62">
        <f>IF(ISNA(VLOOKUP($A61,'KL handicap'!$C$2:$C$37,1,FALSE)),0,VLOOKUP($A61,'KL handicap'!$C$2:$I$37,7,FALSE))</f>
        <v>0</v>
      </c>
      <c r="K61" s="62">
        <f>IF(ISNA(VLOOKUP($A61,'3000m handicap'!$C$2:$C$47,1,FALSE)),0,VLOOKUP($A61,'3000m handicap'!$C$2:$K$47,9,FALSE))</f>
        <v>0</v>
      </c>
      <c r="L61" s="88">
        <f>IF(ISNA(VLOOKUP($A61,'10 km'!$B$2:$B$50,1,FALSE)),0,VLOOKUP($A61,'10 km'!$B$2:$D$50,3,FALSE))</f>
        <v>0</v>
      </c>
      <c r="M61" s="62">
        <f>IF(ISNA(VLOOKUP($A61,'Peter Moor 2000m'!$C$2:$C$30,1,FALSE)),0,VLOOKUP($A61,'Peter Moor 2000m'!$C$2:$I$30,7,FALSE))</f>
        <v>0</v>
      </c>
      <c r="N61" s="62">
        <f>IF(ISNA(VLOOKUP($A61,'Max Howard Tan handicap'!$C$2:$C$23,1,FALSE)),0,VLOOKUP($A61,'Max Howard Tan handicap'!$C$2:$I$23,7,FALSE))</f>
        <v>0</v>
      </c>
      <c r="O61" s="88">
        <f>IF(ISNA(VLOOKUP($A61,parkrun!$B$2:$H$145,1,FALSE)),0,VLOOKUP($A61,parkrun!$B$2:$H$145,7,FALSE))</f>
        <v>63.89</v>
      </c>
      <c r="P61" s="133">
        <f>SUM(F61:O61)</f>
        <v>150.56</v>
      </c>
      <c r="Q61" s="134">
        <f>COUNTIF(F61:O61,"&gt;0")</f>
        <v>2</v>
      </c>
      <c r="R61" s="215">
        <f>SMALL(F61:O61,1)+SMALL(F61:O61,2)</f>
        <v>0</v>
      </c>
      <c r="S61" s="215">
        <f>IF(Q61=1,P61,P61-R61)</f>
        <v>150.56</v>
      </c>
      <c r="T61" s="216">
        <f>RANK(P61,$P$5:$P$230,0)</f>
        <v>57</v>
      </c>
      <c r="U61" s="26">
        <f>RANK(S61,$S$5:$S$230,0)</f>
        <v>57</v>
      </c>
      <c r="W61" s="113">
        <v>30146</v>
      </c>
      <c r="X61" s="58"/>
      <c r="Y61" s="44"/>
      <c r="AD61" s="44"/>
    </row>
    <row r="62" spans="1:30" x14ac:dyDescent="0.2">
      <c r="A62" s="38" t="s">
        <v>140</v>
      </c>
      <c r="B62" s="81">
        <v>83</v>
      </c>
      <c r="C62" s="81" t="s">
        <v>233</v>
      </c>
      <c r="D62" s="146">
        <v>28651</v>
      </c>
      <c r="E62" s="81" t="s">
        <v>214</v>
      </c>
      <c r="F62" s="61">
        <f>IF(ISNA(VLOOKUP($A62,'2 Bridges Relay'!$F$2:$F$67,1,FALSE)),0,VLOOKUP($A62,'2 Bridges Relay'!$F$2:$J$67,5,FALSE))</f>
        <v>0</v>
      </c>
      <c r="G62" s="88">
        <f>IF(ISNA(VLOOKUP($A62,'5M''s'!$D$2:$E$27,1,FALSE)),0,VLOOKUP($A62,'5M''s'!$D$2:$E$27,2,FALSE))</f>
        <v>60</v>
      </c>
      <c r="H62" s="62">
        <f>IF(ISNA(VLOOKUP($A62,'Mile handicap'!$C$2:$C$51,1,FALSE)),0,VLOOKUP($A62,'Mile handicap'!$C$2:$K$51,9,FALSE))</f>
        <v>0</v>
      </c>
      <c r="I62" s="62">
        <f>IF(ISNA(VLOOKUP($A62,'5000m handicap'!$C$2:$C$46,1,FALSE)),0,VLOOKUP($A62,'5000m handicap'!$C$2:$K$46,9,FALSE))</f>
        <v>0</v>
      </c>
      <c r="J62" s="62">
        <f>IF(ISNA(VLOOKUP($A62,'KL handicap'!$C$2:$C$37,1,FALSE)),0,VLOOKUP($A62,'KL handicap'!$C$2:$I$37,7,FALSE))</f>
        <v>0</v>
      </c>
      <c r="K62" s="62">
        <f>IF(ISNA(VLOOKUP($A62,'3000m handicap'!$C$2:$C$47,1,FALSE)),0,VLOOKUP($A62,'3000m handicap'!$C$2:$K$47,9,FALSE))</f>
        <v>0</v>
      </c>
      <c r="L62" s="62">
        <f>IF(ISNA(VLOOKUP($A62,'10 km'!$B$2:$B$50,1,FALSE)),0,VLOOKUP($A62,'10 km'!$B$2:$D$50,3,FALSE))</f>
        <v>38.78</v>
      </c>
      <c r="M62" s="62">
        <f>IF(ISNA(VLOOKUP($A62,'Peter Moor 2000m'!$C$2:$C$30,1,FALSE)),0,VLOOKUP($A62,'Peter Moor 2000m'!$C$2:$I$30,7,FALSE))</f>
        <v>0</v>
      </c>
      <c r="N62" s="62">
        <f>IF(ISNA(VLOOKUP($A62,'Max Howard Tan handicap'!$C$2:$C$23,1,FALSE)),0,VLOOKUP($A62,'Max Howard Tan handicap'!$C$2:$I$23,7,FALSE))</f>
        <v>0</v>
      </c>
      <c r="O62" s="88">
        <f>IF(ISNA(VLOOKUP($A62,parkrun!$B$2:$H$145,1,FALSE)),0,VLOOKUP($A62,parkrun!$B$2:$H$145,7,FALSE))</f>
        <v>48.61</v>
      </c>
      <c r="P62" s="133">
        <f>SUM(F62:O62)</f>
        <v>147.38999999999999</v>
      </c>
      <c r="Q62" s="134">
        <f>COUNTIF(F62:O62,"&gt;0")</f>
        <v>3</v>
      </c>
      <c r="R62" s="215">
        <f>SMALL(F62:O62,1)+SMALL(F62:O62,2)</f>
        <v>0</v>
      </c>
      <c r="S62" s="215">
        <f>IF(Q62=1,P62,P62-R62)</f>
        <v>147.38999999999999</v>
      </c>
      <c r="T62" s="216">
        <f>RANK(P62,$P$5:$P$230,0)</f>
        <v>58</v>
      </c>
      <c r="U62" s="26">
        <f>RANK(S62,$S$5:$S$230,0)</f>
        <v>58</v>
      </c>
      <c r="W62" s="113">
        <v>23808</v>
      </c>
      <c r="X62" s="58"/>
      <c r="Y62" s="44"/>
      <c r="AD62" s="44"/>
    </row>
    <row r="63" spans="1:30" x14ac:dyDescent="0.2">
      <c r="A63" s="38" t="s">
        <v>208</v>
      </c>
      <c r="B63" s="81">
        <v>103</v>
      </c>
      <c r="C63" s="81" t="s">
        <v>233</v>
      </c>
      <c r="D63" s="146">
        <v>25876</v>
      </c>
      <c r="E63" s="81" t="s">
        <v>214</v>
      </c>
      <c r="F63" s="61">
        <f>IF(ISNA(VLOOKUP($A63,'2 Bridges Relay'!$F$2:$F$67,1,FALSE)),0,VLOOKUP($A63,'2 Bridges Relay'!$F$2:$J$67,5,FALSE))</f>
        <v>86.67</v>
      </c>
      <c r="G63" s="88">
        <f>IF(ISNA(VLOOKUP($A63,'5M''s'!$D$2:$E$27,1,FALSE)),0,VLOOKUP($A63,'5M''s'!$D$2:$E$27,2,FALSE))</f>
        <v>0</v>
      </c>
      <c r="H63" s="62">
        <f>IF(ISNA(VLOOKUP($A63,'Mile handicap'!$C$2:$C$51,1,FALSE)),0,VLOOKUP($A63,'Mile handicap'!$C$2:$K$51,9,FALSE))</f>
        <v>0</v>
      </c>
      <c r="I63" s="62">
        <f>IF(ISNA(VLOOKUP($A63,'5000m handicap'!$C$2:$C$46,1,FALSE)),0,VLOOKUP($A63,'5000m handicap'!$C$2:$K$46,9,FALSE))</f>
        <v>0</v>
      </c>
      <c r="J63" s="62">
        <f>IF(ISNA(VLOOKUP($A63,'KL handicap'!$C$2:$C$37,1,FALSE)),0,VLOOKUP($A63,'KL handicap'!$C$2:$I$37,7,FALSE))</f>
        <v>0</v>
      </c>
      <c r="K63" s="62">
        <f>IF(ISNA(VLOOKUP($A63,'3000m handicap'!$C$2:$C$47,1,FALSE)),0,VLOOKUP($A63,'3000m handicap'!$C$2:$K$47,9,FALSE))</f>
        <v>0</v>
      </c>
      <c r="L63" s="62">
        <f>IF(ISNA(VLOOKUP($A63,'10 km'!$B$2:$B$50,1,FALSE)),0,VLOOKUP($A63,'10 km'!$B$2:$D$50,3,FALSE))</f>
        <v>0</v>
      </c>
      <c r="M63" s="62">
        <f>IF(ISNA(VLOOKUP($A63,'Peter Moor 2000m'!$C$2:$C$30,1,FALSE)),0,VLOOKUP($A63,'Peter Moor 2000m'!$C$2:$I$30,7,FALSE))</f>
        <v>0</v>
      </c>
      <c r="N63" s="62">
        <f>IF(ISNA(VLOOKUP($A63,'Max Howard Tan handicap'!$C$2:$C$23,1,FALSE)),0,VLOOKUP($A63,'Max Howard Tan handicap'!$C$2:$I$23,7,FALSE))</f>
        <v>0</v>
      </c>
      <c r="O63" s="88">
        <f>IF(ISNA(VLOOKUP($A63,parkrun!$B$2:$H$145,1,FALSE)),0,VLOOKUP($A63,parkrun!$B$2:$H$145,7,FALSE))</f>
        <v>59.72</v>
      </c>
      <c r="P63" s="133">
        <f>SUM(F63:O63)</f>
        <v>146.38999999999999</v>
      </c>
      <c r="Q63" s="134">
        <f>COUNTIF(F63:O63,"&gt;0")</f>
        <v>2</v>
      </c>
      <c r="R63" s="215">
        <f>SMALL(F63:O63,1)+SMALL(F63:O63,2)</f>
        <v>0</v>
      </c>
      <c r="S63" s="215">
        <f>IF(Q63=1,P63,P63-R63)</f>
        <v>146.38999999999999</v>
      </c>
      <c r="T63" s="216">
        <f>RANK(P63,$P$5:$P$230,0)</f>
        <v>59</v>
      </c>
      <c r="U63" s="26">
        <f>RANK(S63,$S$5:$S$230,0)</f>
        <v>59</v>
      </c>
      <c r="V63" s="183"/>
      <c r="W63" s="113">
        <v>32385</v>
      </c>
      <c r="X63" s="58"/>
      <c r="Y63" s="44"/>
      <c r="AD63" s="44"/>
    </row>
    <row r="64" spans="1:30" x14ac:dyDescent="0.2">
      <c r="A64" s="38" t="s">
        <v>77</v>
      </c>
      <c r="B64" s="81">
        <v>36</v>
      </c>
      <c r="C64" s="81" t="s">
        <v>233</v>
      </c>
      <c r="D64" s="146">
        <v>22192</v>
      </c>
      <c r="E64" s="81" t="s">
        <v>196</v>
      </c>
      <c r="F64" s="61">
        <f>IF(ISNA(VLOOKUP($A64,'2 Bridges Relay'!$F$2:$F$67,1,FALSE)),0,VLOOKUP($A64,'2 Bridges Relay'!$F$2:$J$67,5,FALSE))</f>
        <v>0</v>
      </c>
      <c r="G64" s="88">
        <f>IF(ISNA(VLOOKUP($A64,'5M''s'!$D$2:$E$27,1,FALSE)),0,VLOOKUP($A64,'5M''s'!$D$2:$E$27,2,FALSE))</f>
        <v>0</v>
      </c>
      <c r="H64" s="62">
        <f>IF(ISNA(VLOOKUP($A64,'Mile handicap'!$C$2:$C$51,1,FALSE)),0,VLOOKUP($A64,'Mile handicap'!$C$2:$K$51,9,FALSE))</f>
        <v>0</v>
      </c>
      <c r="I64" s="62">
        <f>IF(ISNA(VLOOKUP($A64,'5000m handicap'!$C$2:$C$46,1,FALSE)),0,VLOOKUP($A64,'5000m handicap'!$C$2:$K$46,9,FALSE))</f>
        <v>0</v>
      </c>
      <c r="J64" s="62">
        <f>IF(ISNA(VLOOKUP($A64,'KL handicap'!$C$2:$C$37,1,FALSE)),0,VLOOKUP($A64,'KL handicap'!$C$2:$I$37,7,FALSE))</f>
        <v>0</v>
      </c>
      <c r="K64" s="62">
        <f>IF(ISNA(VLOOKUP($A64,'3000m handicap'!$C$2:$C$47,1,FALSE)),0,VLOOKUP($A64,'3000m handicap'!$C$2:$K$47,9,FALSE))</f>
        <v>22.22</v>
      </c>
      <c r="L64" s="62">
        <f>IF(ISNA(VLOOKUP($A64,'10 km'!$B$2:$B$50,1,FALSE)),0,VLOOKUP($A64,'10 km'!$B$2:$D$50,3,FALSE))</f>
        <v>12.24</v>
      </c>
      <c r="M64" s="62">
        <f>IF(ISNA(VLOOKUP($A64,'Peter Moor 2000m'!$C$2:$C$30,1,FALSE)),0,VLOOKUP($A64,'Peter Moor 2000m'!$C$2:$I$30,7,FALSE))</f>
        <v>54.55</v>
      </c>
      <c r="N64" s="62">
        <f>IF(ISNA(VLOOKUP($A64,'Max Howard Tan handicap'!$C$2:$C$23,1,FALSE)),0,VLOOKUP($A64,'Max Howard Tan handicap'!$C$2:$I$23,7,FALSE))</f>
        <v>0</v>
      </c>
      <c r="O64" s="88">
        <f>IF(ISNA(VLOOKUP($A64,parkrun!$B$2:$H$145,1,FALSE)),0,VLOOKUP($A64,parkrun!$B$2:$H$145,7,FALSE))</f>
        <v>56.25</v>
      </c>
      <c r="P64" s="133">
        <f>SUM(F64:O64)</f>
        <v>145.26</v>
      </c>
      <c r="Q64" s="134">
        <f>COUNTIF(F64:O64,"&gt;0")</f>
        <v>4</v>
      </c>
      <c r="R64" s="215">
        <f>SMALL(F64:O64,1)+SMALL(F64:O64,2)</f>
        <v>0</v>
      </c>
      <c r="S64" s="215">
        <f>IF(Q64=1,P64,P64-R64)</f>
        <v>145.26</v>
      </c>
      <c r="T64" s="216">
        <f>RANK(P64,$P$5:$P$230,0)</f>
        <v>60</v>
      </c>
      <c r="U64" s="26">
        <f>RANK(S64,$S$5:$S$230,0)</f>
        <v>60</v>
      </c>
      <c r="W64" s="113">
        <v>29058</v>
      </c>
      <c r="X64" s="58"/>
      <c r="Y64" s="44"/>
      <c r="AD64" s="44"/>
    </row>
    <row r="65" spans="1:30" x14ac:dyDescent="0.2">
      <c r="A65" s="38" t="s">
        <v>78</v>
      </c>
      <c r="B65" s="81">
        <v>94</v>
      </c>
      <c r="C65" s="81" t="s">
        <v>233</v>
      </c>
      <c r="D65" s="146">
        <v>29141</v>
      </c>
      <c r="E65" s="81" t="s">
        <v>214</v>
      </c>
      <c r="F65" s="61">
        <f>IF(ISNA(VLOOKUP($A65,'2 Bridges Relay'!$F$2:$F$67,1,FALSE)),0,VLOOKUP($A65,'2 Bridges Relay'!$F$2:$J$67,5,FALSE))</f>
        <v>0</v>
      </c>
      <c r="G65" s="88">
        <f>IF(ISNA(VLOOKUP($A65,'5M''s'!$D$2:$E$27,1,FALSE)),0,VLOOKUP($A65,'5M''s'!$D$2:$E$27,2,FALSE))</f>
        <v>0</v>
      </c>
      <c r="H65" s="62">
        <f>IF(ISNA(VLOOKUP($A65,'Mile handicap'!$C$2:$C$51,1,FALSE)),0,VLOOKUP($A65,'Mile handicap'!$C$2:$K$51,9,FALSE))</f>
        <v>0</v>
      </c>
      <c r="I65" s="62">
        <f>IF(ISNA(VLOOKUP($A65,'5000m handicap'!$C$2:$C$46,1,FALSE)),0,VLOOKUP($A65,'5000m handicap'!$C$2:$K$46,9,FALSE))</f>
        <v>0</v>
      </c>
      <c r="J65" s="62">
        <f>IF(ISNA(VLOOKUP($A65,'KL handicap'!$C$2:$C$37,1,FALSE)),0,VLOOKUP($A65,'KL handicap'!$C$2:$I$37,7,FALSE))</f>
        <v>0</v>
      </c>
      <c r="K65" s="62">
        <f>IF(ISNA(VLOOKUP($A65,'3000m handicap'!$C$2:$C$47,1,FALSE)),0,VLOOKUP($A65,'3000m handicap'!$C$2:$K$47,9,FALSE))</f>
        <v>0</v>
      </c>
      <c r="L65" s="62">
        <f>IF(ISNA(VLOOKUP($A65,'10 km'!$B$2:$B$50,1,FALSE)),0,VLOOKUP($A65,'10 km'!$B$2:$D$50,3,FALSE))</f>
        <v>91.84</v>
      </c>
      <c r="M65" s="62">
        <f>IF(ISNA(VLOOKUP($A65,'Peter Moor 2000m'!$C$2:$C$30,1,FALSE)),0,VLOOKUP($A65,'Peter Moor 2000m'!$C$2:$I$30,7,FALSE))</f>
        <v>0</v>
      </c>
      <c r="N65" s="62">
        <f>IF(ISNA(VLOOKUP($A65,'Max Howard Tan handicap'!$C$2:$C$23,1,FALSE)),0,VLOOKUP($A65,'Max Howard Tan handicap'!$C$2:$I$23,7,FALSE))</f>
        <v>0</v>
      </c>
      <c r="O65" s="88">
        <f>IF(ISNA(VLOOKUP($A65,parkrun!$B$2:$H$145,1,FALSE)),0,VLOOKUP($A65,parkrun!$B$2:$H$145,7,FALSE))</f>
        <v>52.78</v>
      </c>
      <c r="P65" s="133">
        <f>SUM(F65:O65)</f>
        <v>144.62</v>
      </c>
      <c r="Q65" s="134">
        <f>COUNTIF(F65:O65,"&gt;0")</f>
        <v>2</v>
      </c>
      <c r="R65" s="215">
        <f>SMALL(F65:O65,1)+SMALL(F65:O65,2)</f>
        <v>0</v>
      </c>
      <c r="S65" s="215">
        <f>IF(Q65=1,P65,P65-R65)</f>
        <v>144.62</v>
      </c>
      <c r="T65" s="216">
        <f>RANK(P65,$P$5:$P$230,0)</f>
        <v>61</v>
      </c>
      <c r="U65" s="26">
        <f>RANK(S65,$S$5:$S$230,0)</f>
        <v>61</v>
      </c>
      <c r="W65" s="113">
        <v>29141</v>
      </c>
      <c r="X65" s="58"/>
      <c r="Y65" s="44"/>
      <c r="AD65" s="44"/>
    </row>
    <row r="66" spans="1:30" x14ac:dyDescent="0.2">
      <c r="A66" s="38" t="s">
        <v>89</v>
      </c>
      <c r="B66" s="81">
        <v>70</v>
      </c>
      <c r="C66" s="81" t="s">
        <v>233</v>
      </c>
      <c r="D66" s="146">
        <v>27413</v>
      </c>
      <c r="E66" s="81" t="s">
        <v>214</v>
      </c>
      <c r="F66" s="147">
        <f>IF(ISNA(VLOOKUP($A66,'2 Bridges Relay'!$F$2:$F$67,1,FALSE)),0,VLOOKUP($A66,'2 Bridges Relay'!$F$2:$J$67,5,FALSE))</f>
        <v>100</v>
      </c>
      <c r="G66" s="88">
        <f>IF(ISNA(VLOOKUP($A66,'5M''s'!$D$2:$E$27,1,FALSE)),0,VLOOKUP($A66,'5M''s'!$D$2:$E$27,2,FALSE))</f>
        <v>0</v>
      </c>
      <c r="H66" s="62">
        <f>IF(ISNA(VLOOKUP($A66,'Mile handicap'!$C$2:$C$51,1,FALSE)),0,VLOOKUP($A66,'Mile handicap'!$C$2:$K$51,9,FALSE))</f>
        <v>0</v>
      </c>
      <c r="I66" s="62">
        <f>IF(ISNA(VLOOKUP($A66,'5000m handicap'!$C$2:$C$46,1,FALSE)),0,VLOOKUP($A66,'5000m handicap'!$C$2:$K$46,9,FALSE))</f>
        <v>0</v>
      </c>
      <c r="J66" s="62">
        <f>IF(ISNA(VLOOKUP($A66,'KL handicap'!$C$2:$C$37,1,FALSE)),0,VLOOKUP($A66,'KL handicap'!$C$2:$I$37,7,FALSE))</f>
        <v>0</v>
      </c>
      <c r="K66" s="62">
        <f>IF(ISNA(VLOOKUP($A66,'3000m handicap'!$C$2:$C$47,1,FALSE)),0,VLOOKUP($A66,'3000m handicap'!$C$2:$K$47,9,FALSE))</f>
        <v>0</v>
      </c>
      <c r="L66" s="62">
        <f>IF(ISNA(VLOOKUP($A66,'10 km'!$B$2:$B$50,1,FALSE)),0,VLOOKUP($A66,'10 km'!$B$2:$D$50,3,FALSE))</f>
        <v>0</v>
      </c>
      <c r="M66" s="62">
        <f>IF(ISNA(VLOOKUP($A66,'Peter Moor 2000m'!$C$2:$C$30,1,FALSE)),0,VLOOKUP($A66,'Peter Moor 2000m'!$C$2:$I$30,7,FALSE))</f>
        <v>0</v>
      </c>
      <c r="N66" s="62">
        <f>IF(ISNA(VLOOKUP($A66,'Max Howard Tan handicap'!$C$2:$C$23,1,FALSE)),0,VLOOKUP($A66,'Max Howard Tan handicap'!$C$2:$I$23,7,FALSE))</f>
        <v>0</v>
      </c>
      <c r="O66" s="88">
        <f>IF(ISNA(VLOOKUP($A66,parkrun!$B$2:$H$145,1,FALSE)),0,VLOOKUP($A66,parkrun!$B$2:$H$145,7,FALSE))</f>
        <v>40.97</v>
      </c>
      <c r="P66" s="133">
        <f>SUM(F66:O66)</f>
        <v>140.97</v>
      </c>
      <c r="Q66" s="134">
        <f>COUNTIF(F66:O66,"&gt;0")</f>
        <v>2</v>
      </c>
      <c r="R66" s="215">
        <f>SMALL(F66:O66,1)+SMALL(F66:O66,2)</f>
        <v>0</v>
      </c>
      <c r="S66" s="215">
        <f>IF(Q66=1,P66,P66-R66)</f>
        <v>140.97</v>
      </c>
      <c r="T66" s="216">
        <f>RANK(P66,$P$5:$P$230,0)</f>
        <v>62</v>
      </c>
      <c r="U66" s="26">
        <f>RANK(S66,$S$5:$S$230,0)</f>
        <v>62</v>
      </c>
      <c r="W66" s="113">
        <v>28644</v>
      </c>
      <c r="X66" s="58"/>
      <c r="Y66" s="44"/>
      <c r="AD66" s="44"/>
    </row>
    <row r="67" spans="1:30" x14ac:dyDescent="0.2">
      <c r="A67" s="38" t="s">
        <v>39</v>
      </c>
      <c r="B67" s="81">
        <v>109</v>
      </c>
      <c r="C67" s="81" t="s">
        <v>233</v>
      </c>
      <c r="D67" s="146">
        <v>27260</v>
      </c>
      <c r="E67" s="81" t="s">
        <v>214</v>
      </c>
      <c r="F67" s="61">
        <f>IF(ISNA(VLOOKUP($A67,'2 Bridges Relay'!$F$2:$F$67,1,FALSE)),0,VLOOKUP($A67,'2 Bridges Relay'!$F$2:$J$67,5,FALSE))</f>
        <v>73.33</v>
      </c>
      <c r="G67" s="88">
        <f>IF(ISNA(VLOOKUP($A67,'5M''s'!$D$2:$E$27,1,FALSE)),0,VLOOKUP($A67,'5M''s'!$D$2:$E$27,2,FALSE))</f>
        <v>0</v>
      </c>
      <c r="H67" s="62">
        <f>IF(ISNA(VLOOKUP($A67,'Mile handicap'!$C$2:$C$51,1,FALSE)),0,VLOOKUP($A67,'Mile handicap'!$C$2:$K$51,9,FALSE))</f>
        <v>29.27</v>
      </c>
      <c r="I67" s="62">
        <f>IF(ISNA(VLOOKUP($A67,'5000m handicap'!$C$2:$C$46,1,FALSE)),0,VLOOKUP($A67,'5000m handicap'!$C$2:$K$46,9,FALSE))</f>
        <v>0</v>
      </c>
      <c r="J67" s="62">
        <f>IF(ISNA(VLOOKUP($A67,'KL handicap'!$C$2:$C$37,1,FALSE)),0,VLOOKUP($A67,'KL handicap'!$C$2:$I$37,7,FALSE))</f>
        <v>0</v>
      </c>
      <c r="K67" s="62">
        <f>IF(ISNA(VLOOKUP($A67,'3000m handicap'!$C$2:$C$47,1,FALSE)),0,VLOOKUP($A67,'3000m handicap'!$C$2:$K$47,9,FALSE))</f>
        <v>0</v>
      </c>
      <c r="L67" s="62">
        <f>IF(ISNA(VLOOKUP($A67,'10 km'!$B$2:$B$50,1,FALSE)),0,VLOOKUP($A67,'10 km'!$B$2:$D$50,3,FALSE))</f>
        <v>0</v>
      </c>
      <c r="M67" s="62">
        <f>IF(ISNA(VLOOKUP($A67,'Peter Moor 2000m'!$C$2:$C$30,1,FALSE)),0,VLOOKUP($A67,'Peter Moor 2000m'!$C$2:$I$30,7,FALSE))</f>
        <v>0</v>
      </c>
      <c r="N67" s="62">
        <f>IF(ISNA(VLOOKUP($A67,'Max Howard Tan handicap'!$C$2:$C$23,1,FALSE)),0,VLOOKUP($A67,'Max Howard Tan handicap'!$C$2:$I$23,7,FALSE))</f>
        <v>0</v>
      </c>
      <c r="O67" s="88">
        <f>IF(ISNA(VLOOKUP($A67,parkrun!$B$2:$H$145,1,FALSE)),0,VLOOKUP($A67,parkrun!$B$2:$H$145,7,FALSE))</f>
        <v>36.11</v>
      </c>
      <c r="P67" s="133">
        <f>SUM(F67:O67)</f>
        <v>138.70999999999998</v>
      </c>
      <c r="Q67" s="134">
        <f>COUNTIF(F67:O67,"&gt;0")</f>
        <v>3</v>
      </c>
      <c r="R67" s="215">
        <f>SMALL(F67:O67,1)+SMALL(F67:O67,2)</f>
        <v>0</v>
      </c>
      <c r="S67" s="215">
        <f>IF(Q67=1,P67,P67-R67)</f>
        <v>138.70999999999998</v>
      </c>
      <c r="T67" s="216">
        <f>RANK(P67,$P$5:$P$230,0)</f>
        <v>63</v>
      </c>
      <c r="U67" s="26">
        <f>RANK(S67,$S$5:$S$230,0)</f>
        <v>63</v>
      </c>
      <c r="W67" s="113">
        <v>29280</v>
      </c>
      <c r="X67" s="58"/>
      <c r="Y67" s="44"/>
      <c r="AD67" s="44"/>
    </row>
    <row r="68" spans="1:30" x14ac:dyDescent="0.2">
      <c r="A68" s="38" t="s">
        <v>160</v>
      </c>
      <c r="B68" s="81">
        <v>174</v>
      </c>
      <c r="C68" s="81" t="s">
        <v>233</v>
      </c>
      <c r="D68" s="146">
        <v>26323</v>
      </c>
      <c r="E68" s="81" t="s">
        <v>214</v>
      </c>
      <c r="F68" s="61">
        <f>IF(ISNA(VLOOKUP($A68,'2 Bridges Relay'!$F$2:$F$67,1,FALSE)),0,VLOOKUP($A68,'2 Bridges Relay'!$F$2:$J$67,5,FALSE))</f>
        <v>70</v>
      </c>
      <c r="G68" s="88">
        <f>IF(ISNA(VLOOKUP($A68,'5M''s'!$D$2:$E$27,1,FALSE)),0,VLOOKUP($A68,'5M''s'!$D$2:$E$27,2,FALSE))</f>
        <v>0</v>
      </c>
      <c r="H68" s="62">
        <f>IF(ISNA(VLOOKUP($A68,'Mile handicap'!$C$2:$C$51,1,FALSE)),0,VLOOKUP($A68,'Mile handicap'!$C$2:$K$51,9,FALSE))</f>
        <v>0</v>
      </c>
      <c r="I68" s="62">
        <f>IF(ISNA(VLOOKUP($A68,'5000m handicap'!$C$2:$C$46,1,FALSE)),0,VLOOKUP($A68,'5000m handicap'!$C$2:$K$46,9,FALSE))</f>
        <v>26.32</v>
      </c>
      <c r="J68" s="62">
        <f>IF(ISNA(VLOOKUP($A68,'KL handicap'!$C$2:$C$37,1,FALSE)),0,VLOOKUP($A68,'KL handicap'!$C$2:$I$37,7,FALSE))</f>
        <v>0</v>
      </c>
      <c r="K68" s="62">
        <f>IF(ISNA(VLOOKUP($A68,'3000m handicap'!$C$2:$C$47,1,FALSE)),0,VLOOKUP($A68,'3000m handicap'!$C$2:$K$47,9,FALSE))</f>
        <v>2.78</v>
      </c>
      <c r="L68" s="62">
        <f>IF(ISNA(VLOOKUP($A68,'10 km'!$B$2:$B$50,1,FALSE)),0,VLOOKUP($A68,'10 km'!$B$2:$D$50,3,FALSE))</f>
        <v>0</v>
      </c>
      <c r="M68" s="62">
        <f>IF(ISNA(VLOOKUP($A68,'Peter Moor 2000m'!$C$2:$C$30,1,FALSE)),0,VLOOKUP($A68,'Peter Moor 2000m'!$C$2:$I$30,7,FALSE))</f>
        <v>0</v>
      </c>
      <c r="N68" s="62">
        <f>IF(ISNA(VLOOKUP($A68,'Max Howard Tan handicap'!$C$2:$C$23,1,FALSE)),0,VLOOKUP($A68,'Max Howard Tan handicap'!$C$2:$I$23,7,FALSE))</f>
        <v>0</v>
      </c>
      <c r="O68" s="88">
        <f>IF(ISNA(VLOOKUP($A68,parkrun!$B$2:$H$145,1,FALSE)),0,VLOOKUP($A68,parkrun!$B$2:$H$145,7,FALSE))</f>
        <v>39.58</v>
      </c>
      <c r="P68" s="133">
        <f>SUM(F68:O68)</f>
        <v>138.68</v>
      </c>
      <c r="Q68" s="134">
        <f>COUNTIF(F68:O68,"&gt;0")</f>
        <v>4</v>
      </c>
      <c r="R68" s="215">
        <f>SMALL(F68:O68,1)+SMALL(F68:O68,2)</f>
        <v>0</v>
      </c>
      <c r="S68" s="215">
        <f>IF(Q68=1,P68,P68-R68)</f>
        <v>138.68</v>
      </c>
      <c r="T68" s="216">
        <f>RANK(P68,$P$5:$P$230,0)</f>
        <v>64</v>
      </c>
      <c r="U68" s="26">
        <f>RANK(S68,$S$5:$S$230,0)</f>
        <v>64</v>
      </c>
      <c r="W68" s="113">
        <v>24865</v>
      </c>
      <c r="X68" s="58"/>
      <c r="Y68" s="44"/>
      <c r="AD68" s="44"/>
    </row>
    <row r="69" spans="1:30" x14ac:dyDescent="0.2">
      <c r="A69" s="38" t="s">
        <v>172</v>
      </c>
      <c r="B69" s="81">
        <v>186</v>
      </c>
      <c r="C69" s="81" t="s">
        <v>233</v>
      </c>
      <c r="D69" s="146">
        <v>28474</v>
      </c>
      <c r="E69" s="81" t="s">
        <v>214</v>
      </c>
      <c r="F69" s="61">
        <f>IF(ISNA(VLOOKUP($A69,'2 Bridges Relay'!$F$2:$F$67,1,FALSE)),0,VLOOKUP($A69,'2 Bridges Relay'!$F$2:$J$67,5,FALSE))</f>
        <v>83.33</v>
      </c>
      <c r="G69" s="88">
        <f>IF(ISNA(VLOOKUP($A69,'5M''s'!$D$2:$E$27,1,FALSE)),0,VLOOKUP($A69,'5M''s'!$D$2:$E$27,2,FALSE))</f>
        <v>0</v>
      </c>
      <c r="H69" s="62">
        <f>IF(ISNA(VLOOKUP($A69,'Mile handicap'!$C$2:$C$51,1,FALSE)),0,VLOOKUP($A69,'Mile handicap'!$C$2:$K$51,9,FALSE))</f>
        <v>0</v>
      </c>
      <c r="I69" s="62">
        <f>IF(ISNA(VLOOKUP($A69,'5000m handicap'!$C$2:$C$46,1,FALSE)),0,VLOOKUP($A69,'5000m handicap'!$C$2:$K$46,9,FALSE))</f>
        <v>0</v>
      </c>
      <c r="J69" s="62">
        <f>IF(ISNA(VLOOKUP($A69,'KL handicap'!$C$2:$C$37,1,FALSE)),0,VLOOKUP($A69,'KL handicap'!$C$2:$I$37,7,FALSE))</f>
        <v>25</v>
      </c>
      <c r="K69" s="62">
        <f>IF(ISNA(VLOOKUP($A69,'3000m handicap'!$C$2:$C$47,1,FALSE)),0,VLOOKUP($A69,'3000m handicap'!$C$2:$K$47,9,FALSE))</f>
        <v>0</v>
      </c>
      <c r="L69" s="62">
        <f>IF(ISNA(VLOOKUP($A69,'10 km'!$B$2:$B$50,1,FALSE)),0,VLOOKUP($A69,'10 km'!$B$2:$D$50,3,FALSE))</f>
        <v>0</v>
      </c>
      <c r="M69" s="62">
        <f>IF(ISNA(VLOOKUP($A69,'Peter Moor 2000m'!$C$2:$C$30,1,FALSE)),0,VLOOKUP($A69,'Peter Moor 2000m'!$C$2:$I$30,7,FALSE))</f>
        <v>0</v>
      </c>
      <c r="N69" s="62">
        <f>IF(ISNA(VLOOKUP($A69,'Max Howard Tan handicap'!$C$2:$C$23,1,FALSE)),0,VLOOKUP($A69,'Max Howard Tan handicap'!$C$2:$I$23,7,FALSE))</f>
        <v>0</v>
      </c>
      <c r="O69" s="88">
        <f>IF(ISNA(VLOOKUP($A69,parkrun!$B$2:$H$145,1,FALSE)),0,VLOOKUP($A69,parkrun!$B$2:$H$145,7,FALSE))</f>
        <v>28.47</v>
      </c>
      <c r="P69" s="133">
        <f>SUM(F69:O69)</f>
        <v>136.80000000000001</v>
      </c>
      <c r="Q69" s="134">
        <f>COUNTIF(F69:O69,"&gt;0")</f>
        <v>3</v>
      </c>
      <c r="R69" s="215">
        <f>SMALL(F69:O69,1)+SMALL(F69:O69,2)</f>
        <v>0</v>
      </c>
      <c r="S69" s="215">
        <f>IF(Q69=1,P69,P69-R69)</f>
        <v>136.80000000000001</v>
      </c>
      <c r="T69" s="216">
        <f>RANK(P69,$P$5:$P$230,0)</f>
        <v>65</v>
      </c>
      <c r="U69" s="26">
        <f>RANK(S69,$S$5:$S$230,0)</f>
        <v>65</v>
      </c>
      <c r="W69" s="113">
        <v>31277</v>
      </c>
      <c r="X69" s="58"/>
      <c r="Y69" s="44"/>
      <c r="AD69" s="44"/>
    </row>
    <row r="70" spans="1:30" x14ac:dyDescent="0.2">
      <c r="A70" s="38" t="s">
        <v>183</v>
      </c>
      <c r="B70" s="81">
        <v>197</v>
      </c>
      <c r="C70" s="81" t="s">
        <v>233</v>
      </c>
      <c r="D70" s="146">
        <v>32398</v>
      </c>
      <c r="E70" s="81" t="s">
        <v>214</v>
      </c>
      <c r="F70" s="61">
        <f>IF(ISNA(VLOOKUP($A70,'2 Bridges Relay'!$F$2:$F$67,1,FALSE)),0,VLOOKUP($A70,'2 Bridges Relay'!$F$2:$J$67,5,FALSE))</f>
        <v>0</v>
      </c>
      <c r="G70" s="88">
        <f>IF(ISNA(VLOOKUP($A70,'5M''s'!$D$2:$E$27,1,FALSE)),0,VLOOKUP($A70,'5M''s'!$D$2:$E$27,2,FALSE))</f>
        <v>0</v>
      </c>
      <c r="H70" s="62">
        <f>IF(ISNA(VLOOKUP($A70,'Mile handicap'!$C$2:$C$51,1,FALSE)),0,VLOOKUP($A70,'Mile handicap'!$C$2:$K$51,9,FALSE))</f>
        <v>0</v>
      </c>
      <c r="I70" s="62">
        <f>IF(ISNA(VLOOKUP($A70,'5000m handicap'!$C$2:$C$46,1,FALSE)),0,VLOOKUP($A70,'5000m handicap'!$C$2:$K$46,9,FALSE))</f>
        <v>0</v>
      </c>
      <c r="J70" s="62">
        <f>IF(ISNA(VLOOKUP($A70,'KL handicap'!$C$2:$C$37,1,FALSE)),0,VLOOKUP($A70,'KL handicap'!$C$2:$I$37,7,FALSE))</f>
        <v>0</v>
      </c>
      <c r="K70" s="62">
        <f>IF(ISNA(VLOOKUP($A70,'3000m handicap'!$C$2:$C$47,1,FALSE)),0,VLOOKUP($A70,'3000m handicap'!$C$2:$K$47,9,FALSE))</f>
        <v>0</v>
      </c>
      <c r="L70" s="62">
        <f>IF(ISNA(VLOOKUP($A70,'10 km'!$B$2:$B$50,1,FALSE)),0,VLOOKUP($A70,'10 km'!$B$2:$D$50,3,FALSE))</f>
        <v>71.430000000000007</v>
      </c>
      <c r="M70" s="62">
        <f>IF(ISNA(VLOOKUP($A70,'Peter Moor 2000m'!$C$2:$C$30,1,FALSE)),0,VLOOKUP($A70,'Peter Moor 2000m'!$C$2:$I$30,7,FALSE))</f>
        <v>0</v>
      </c>
      <c r="N70" s="62">
        <f>IF(ISNA(VLOOKUP($A70,'Max Howard Tan handicap'!$C$2:$C$23,1,FALSE)),0,VLOOKUP($A70,'Max Howard Tan handicap'!$C$2:$I$23,7,FALSE))</f>
        <v>0</v>
      </c>
      <c r="O70" s="88">
        <f>IF(ISNA(VLOOKUP($A70,parkrun!$B$2:$H$145,1,FALSE)),0,VLOOKUP($A70,parkrun!$B$2:$H$145,7,FALSE))</f>
        <v>58.33</v>
      </c>
      <c r="P70" s="133">
        <f>SUM(F70:O70)</f>
        <v>129.76</v>
      </c>
      <c r="Q70" s="134">
        <f>COUNTIF(F70:O70,"&gt;0")</f>
        <v>2</v>
      </c>
      <c r="R70" s="215">
        <f>SMALL(F70:O70,1)+SMALL(F70:O70,2)</f>
        <v>0</v>
      </c>
      <c r="S70" s="215">
        <f>IF(Q70=1,P70,P70-R70)</f>
        <v>129.76</v>
      </c>
      <c r="T70" s="216">
        <f>RANK(P70,$P$5:$P$230,0)</f>
        <v>66</v>
      </c>
      <c r="U70" s="26">
        <f>RANK(S70,$S$5:$S$230,0)</f>
        <v>66</v>
      </c>
      <c r="W70" s="113">
        <v>25569</v>
      </c>
      <c r="X70" s="58"/>
      <c r="Y70" s="44"/>
      <c r="AD70" s="44"/>
    </row>
    <row r="71" spans="1:30" x14ac:dyDescent="0.2">
      <c r="A71" s="38" t="s">
        <v>296</v>
      </c>
      <c r="B71" s="81">
        <v>268</v>
      </c>
      <c r="C71" s="81" t="s">
        <v>233</v>
      </c>
      <c r="D71" s="146">
        <v>22940</v>
      </c>
      <c r="E71" s="81" t="s">
        <v>196</v>
      </c>
      <c r="F71" s="61">
        <f>IF(ISNA(VLOOKUP($A71,'2 Bridges Relay'!$F$2:$F$67,1,FALSE)),0,VLOOKUP($A71,'2 Bridges Relay'!$F$2:$J$67,5,FALSE))</f>
        <v>0</v>
      </c>
      <c r="G71" s="88">
        <f>IF(ISNA(VLOOKUP($A71,'5M''s'!$D$2:$E$27,1,FALSE)),0,VLOOKUP($A71,'5M''s'!$D$2:$E$27,2,FALSE))</f>
        <v>0</v>
      </c>
      <c r="H71" s="62">
        <f>IF(ISNA(VLOOKUP($A71,'Mile handicap'!$C$2:$C$51,1,FALSE)),0,VLOOKUP($A71,'Mile handicap'!$C$2:$K$51,9,FALSE))</f>
        <v>0</v>
      </c>
      <c r="I71" s="62">
        <f>IF(ISNA(VLOOKUP($A71,'5000m handicap'!$C$2:$C$46,1,FALSE)),0,VLOOKUP($A71,'5000m handicap'!$C$2:$K$46,9,FALSE))</f>
        <v>0</v>
      </c>
      <c r="J71" s="62">
        <f>IF(ISNA(VLOOKUP($A71,'KL handicap'!$C$2:$C$37,1,FALSE)),0,VLOOKUP($A71,'KL handicap'!$C$2:$I$37,7,FALSE))</f>
        <v>0</v>
      </c>
      <c r="K71" s="62">
        <f>IF(ISNA(VLOOKUP($A71,'3000m handicap'!$C$2:$C$47,1,FALSE)),0,VLOOKUP($A71,'3000m handicap'!$C$2:$K$47,9,FALSE))</f>
        <v>0</v>
      </c>
      <c r="L71" s="62">
        <f>IF(ISNA(VLOOKUP($A71,'10 km'!$B$2:$B$50,1,FALSE)),0,VLOOKUP($A71,'10 km'!$B$2:$D$50,3,FALSE))</f>
        <v>44.9</v>
      </c>
      <c r="M71" s="62">
        <f>IF(ISNA(VLOOKUP($A71,'Peter Moor 2000m'!$C$2:$C$30,1,FALSE)),0,VLOOKUP($A71,'Peter Moor 2000m'!$C$2:$I$30,7,FALSE))</f>
        <v>0</v>
      </c>
      <c r="N71" s="62">
        <f>IF(ISNA(VLOOKUP($A71,'Max Howard Tan handicap'!$C$2:$C$23,1,FALSE)),0,VLOOKUP($A71,'Max Howard Tan handicap'!$C$2:$I$23,7,FALSE))</f>
        <v>0</v>
      </c>
      <c r="O71" s="88">
        <f>IF(ISNA(VLOOKUP($A71,parkrun!$B$2:$H$145,1,FALSE)),0,VLOOKUP($A71,parkrun!$B$2:$H$145,7,FALSE))</f>
        <v>84.03</v>
      </c>
      <c r="P71" s="133">
        <f>SUM(F71:O71)</f>
        <v>128.93</v>
      </c>
      <c r="Q71" s="134">
        <f>COUNTIF(F71:O71,"&gt;0")</f>
        <v>2</v>
      </c>
      <c r="R71" s="215">
        <f>SMALL(F71:O71,1)+SMALL(F71:O71,2)</f>
        <v>0</v>
      </c>
      <c r="S71" s="215">
        <f>IF(Q71=1,P71,P71-R71)</f>
        <v>128.93</v>
      </c>
      <c r="T71" s="216">
        <f>RANK(P71,$P$5:$P$230,0)</f>
        <v>67</v>
      </c>
      <c r="U71" s="26">
        <f>RANK(S71,$S$5:$S$230,0)</f>
        <v>67</v>
      </c>
      <c r="W71" s="113">
        <v>28172</v>
      </c>
      <c r="Y71" s="44"/>
      <c r="AD71" s="44"/>
    </row>
    <row r="72" spans="1:30" x14ac:dyDescent="0.2">
      <c r="A72" s="38" t="s">
        <v>318</v>
      </c>
      <c r="B72" s="81">
        <v>302</v>
      </c>
      <c r="C72" s="81" t="s">
        <v>233</v>
      </c>
      <c r="D72" s="146">
        <v>26440</v>
      </c>
      <c r="E72" s="81" t="s">
        <v>214</v>
      </c>
      <c r="F72" s="61">
        <f>IF(ISNA(VLOOKUP($A72,'2 Bridges Relay'!$F$2:$F$67,1,FALSE)),0,VLOOKUP($A72,'2 Bridges Relay'!$F$2:$J$67,5,FALSE))</f>
        <v>96.67</v>
      </c>
      <c r="G72" s="88">
        <f>IF(ISNA(VLOOKUP($A72,'5M''s'!$D$2:$E$27,1,FALSE)),0,VLOOKUP($A72,'5M''s'!$D$2:$E$27,2,FALSE))</f>
        <v>0</v>
      </c>
      <c r="H72" s="62">
        <f>IF(ISNA(VLOOKUP($A72,'Mile handicap'!$C$2:$C$51,1,FALSE)),0,VLOOKUP($A72,'Mile handicap'!$C$2:$K$51,9,FALSE))</f>
        <v>0</v>
      </c>
      <c r="I72" s="62">
        <f>IF(ISNA(VLOOKUP($A72,'5000m handicap'!$C$2:$C$46,1,FALSE)),0,VLOOKUP($A72,'5000m handicap'!$C$2:$K$46,9,FALSE))</f>
        <v>0</v>
      </c>
      <c r="J72" s="62">
        <f>IF(ISNA(VLOOKUP($A72,'KL handicap'!$C$2:$C$37,1,FALSE)),0,VLOOKUP($A72,'KL handicap'!$C$2:$I$37,7,FALSE))</f>
        <v>0</v>
      </c>
      <c r="K72" s="62">
        <f>IF(ISNA(VLOOKUP($A72,'3000m handicap'!$C$2:$C$47,1,FALSE)),0,VLOOKUP($A72,'3000m handicap'!$C$2:$K$47,9,FALSE))</f>
        <v>0</v>
      </c>
      <c r="L72" s="62">
        <f>IF(ISNA(VLOOKUP($A72,'10 km'!$B$2:$B$50,1,FALSE)),0,VLOOKUP($A72,'10 km'!$B$2:$D$50,3,FALSE))</f>
        <v>0</v>
      </c>
      <c r="M72" s="62">
        <f>IF(ISNA(VLOOKUP($A72,'Peter Moor 2000m'!$C$2:$C$30,1,FALSE)),0,VLOOKUP($A72,'Peter Moor 2000m'!$C$2:$I$30,7,FALSE))</f>
        <v>0</v>
      </c>
      <c r="N72" s="62">
        <f>IF(ISNA(VLOOKUP($A72,'Max Howard Tan handicap'!$C$2:$C$23,1,FALSE)),0,VLOOKUP($A72,'Max Howard Tan handicap'!$C$2:$I$23,7,FALSE))</f>
        <v>0</v>
      </c>
      <c r="O72" s="88">
        <f>IF(ISNA(VLOOKUP($A72,parkrun!$B$2:$H$145,1,FALSE)),0,VLOOKUP($A72,parkrun!$B$2:$H$145,7,FALSE))</f>
        <v>27.08</v>
      </c>
      <c r="P72" s="133">
        <f>SUM(F72:O72)</f>
        <v>123.75</v>
      </c>
      <c r="Q72" s="134">
        <f>COUNTIF(F72:O72,"&gt;0")</f>
        <v>2</v>
      </c>
      <c r="R72" s="215">
        <f>SMALL(F72:O72,1)+SMALL(F72:O72,2)</f>
        <v>0</v>
      </c>
      <c r="S72" s="215">
        <f>IF(Q72=1,P72,P72-R72)</f>
        <v>123.75</v>
      </c>
      <c r="T72" s="216">
        <f>RANK(P72,$P$5:$P$230,0)</f>
        <v>68</v>
      </c>
      <c r="U72" s="26">
        <f>RANK(S72,$S$5:$S$230,0)</f>
        <v>68</v>
      </c>
      <c r="W72" s="113">
        <v>31871</v>
      </c>
      <c r="Y72" s="44"/>
      <c r="AD72" s="44"/>
    </row>
    <row r="73" spans="1:30" x14ac:dyDescent="0.2">
      <c r="A73" s="38" t="s">
        <v>47</v>
      </c>
      <c r="B73" s="81">
        <v>7</v>
      </c>
      <c r="C73" s="81" t="s">
        <v>233</v>
      </c>
      <c r="D73" s="146">
        <v>25493</v>
      </c>
      <c r="E73" s="81" t="s">
        <v>214</v>
      </c>
      <c r="F73" s="61">
        <f>IF(ISNA(VLOOKUP($A73,'2 Bridges Relay'!$F$2:$F$67,1,FALSE)),0,VLOOKUP($A73,'2 Bridges Relay'!$F$2:$J$67,5,FALSE))</f>
        <v>53.33</v>
      </c>
      <c r="G73" s="88">
        <f>IF(ISNA(VLOOKUP($A73,'5M''s'!$D$2:$E$27,1,FALSE)),0,VLOOKUP($A73,'5M''s'!$D$2:$E$27,2,FALSE))</f>
        <v>0</v>
      </c>
      <c r="H73" s="62">
        <f>IF(ISNA(VLOOKUP($A73,'Mile handicap'!$C$2:$C$51,1,FALSE)),0,VLOOKUP($A73,'Mile handicap'!$C$2:$K$51,9,FALSE))</f>
        <v>51.22</v>
      </c>
      <c r="I73" s="62">
        <f>IF(ISNA(VLOOKUP($A73,'5000m handicap'!$C$2:$C$46,1,FALSE)),0,VLOOKUP($A73,'5000m handicap'!$C$2:$K$46,9,FALSE))</f>
        <v>0</v>
      </c>
      <c r="J73" s="62">
        <f>IF(ISNA(VLOOKUP($A73,'KL handicap'!$C$2:$C$37,1,FALSE)),0,VLOOKUP($A73,'KL handicap'!$C$2:$I$37,7,FALSE))</f>
        <v>0</v>
      </c>
      <c r="K73" s="62">
        <f>IF(ISNA(VLOOKUP($A73,'3000m handicap'!$C$2:$C$47,1,FALSE)),0,VLOOKUP($A73,'3000m handicap'!$C$2:$K$47,9,FALSE))</f>
        <v>0</v>
      </c>
      <c r="L73" s="62">
        <f>IF(ISNA(VLOOKUP($A73,'10 km'!$B$2:$B$50,1,FALSE)),0,VLOOKUP($A73,'10 km'!$B$2:$D$50,3,FALSE))</f>
        <v>0</v>
      </c>
      <c r="M73" s="62">
        <f>IF(ISNA(VLOOKUP($A73,'Peter Moor 2000m'!$C$2:$C$30,1,FALSE)),0,VLOOKUP($A73,'Peter Moor 2000m'!$C$2:$I$30,7,FALSE))</f>
        <v>18.18</v>
      </c>
      <c r="N73" s="62">
        <f>IF(ISNA(VLOOKUP($A73,'Max Howard Tan handicap'!$C$2:$C$23,1,FALSE)),0,VLOOKUP($A73,'Max Howard Tan handicap'!$C$2:$I$23,7,FALSE))</f>
        <v>0</v>
      </c>
      <c r="O73" s="88">
        <f>IF(ISNA(VLOOKUP($A73,parkrun!$B$2:$H$145,1,FALSE)),0,VLOOKUP($A73,parkrun!$B$2:$H$145,7,FALSE))</f>
        <v>0</v>
      </c>
      <c r="P73" s="133">
        <f>SUM(F73:O73)</f>
        <v>122.72999999999999</v>
      </c>
      <c r="Q73" s="134">
        <f>COUNTIF(F73:O73,"&gt;0")</f>
        <v>3</v>
      </c>
      <c r="R73" s="215">
        <f>SMALL(F73:O73,1)+SMALL(F73:O73,2)</f>
        <v>0</v>
      </c>
      <c r="S73" s="215">
        <f>IF(Q73=1,P73,P73-R73)</f>
        <v>122.72999999999999</v>
      </c>
      <c r="T73" s="216">
        <f>RANK(P73,$P$5:$P$230,0)</f>
        <v>69</v>
      </c>
      <c r="U73" s="26">
        <f>RANK(S73,$S$5:$S$230,0)</f>
        <v>69</v>
      </c>
      <c r="W73" s="113">
        <v>26458</v>
      </c>
      <c r="Y73" s="44"/>
      <c r="AD73" s="44"/>
    </row>
    <row r="74" spans="1:30" x14ac:dyDescent="0.2">
      <c r="A74" s="38" t="s">
        <v>97</v>
      </c>
      <c r="B74" s="81">
        <v>6</v>
      </c>
      <c r="C74" s="81" t="s">
        <v>233</v>
      </c>
      <c r="D74" s="146">
        <v>23037</v>
      </c>
      <c r="E74" s="81" t="s">
        <v>196</v>
      </c>
      <c r="F74" s="61">
        <f>IF(ISNA(VLOOKUP($A74,'2 Bridges Relay'!$F$2:$F$67,1,FALSE)),0,VLOOKUP($A74,'2 Bridges Relay'!$F$2:$J$67,5,FALSE))</f>
        <v>83.33</v>
      </c>
      <c r="G74" s="88">
        <f>IF(ISNA(VLOOKUP($A74,'5M''s'!$D$2:$E$27,1,FALSE)),0,VLOOKUP($A74,'5M''s'!$D$2:$E$27,2,FALSE))</f>
        <v>0</v>
      </c>
      <c r="H74" s="62">
        <f>IF(ISNA(VLOOKUP($A74,'Mile handicap'!$C$2:$C$51,1,FALSE)),0,VLOOKUP($A74,'Mile handicap'!$C$2:$K$51,9,FALSE))</f>
        <v>0</v>
      </c>
      <c r="I74" s="62">
        <f>IF(ISNA(VLOOKUP($A74,'5000m handicap'!$C$2:$C$46,1,FALSE)),0,VLOOKUP($A74,'5000m handicap'!$C$2:$K$46,9,FALSE))</f>
        <v>0</v>
      </c>
      <c r="J74" s="62">
        <f>IF(ISNA(VLOOKUP($A74,'KL handicap'!$C$2:$C$37,1,FALSE)),0,VLOOKUP($A74,'KL handicap'!$C$2:$I$37,7,FALSE))</f>
        <v>35.71</v>
      </c>
      <c r="K74" s="62">
        <f>IF(ISNA(VLOOKUP($A74,'3000m handicap'!$C$2:$C$47,1,FALSE)),0,VLOOKUP($A74,'3000m handicap'!$C$2:$K$47,9,FALSE))</f>
        <v>0</v>
      </c>
      <c r="L74" s="62">
        <f>IF(ISNA(VLOOKUP($A74,'10 km'!$B$2:$B$50,1,FALSE)),0,VLOOKUP($A74,'10 km'!$B$2:$D$50,3,FALSE))</f>
        <v>0</v>
      </c>
      <c r="M74" s="62">
        <f>IF(ISNA(VLOOKUP($A74,'Peter Moor 2000m'!$C$2:$C$30,1,FALSE)),0,VLOOKUP($A74,'Peter Moor 2000m'!$C$2:$I$30,7,FALSE))</f>
        <v>0</v>
      </c>
      <c r="N74" s="62">
        <f>IF(ISNA(VLOOKUP($A74,'Max Howard Tan handicap'!$C$2:$C$23,1,FALSE)),0,VLOOKUP($A74,'Max Howard Tan handicap'!$C$2:$I$23,7,FALSE))</f>
        <v>0</v>
      </c>
      <c r="O74" s="88">
        <f>IF(ISNA(VLOOKUP($A74,parkrun!$B$2:$H$145,1,FALSE)),0,VLOOKUP($A74,parkrun!$B$2:$H$145,7,FALSE))</f>
        <v>0</v>
      </c>
      <c r="P74" s="133">
        <f>SUM(F74:O74)</f>
        <v>119.03999999999999</v>
      </c>
      <c r="Q74" s="134">
        <f>COUNTIF(F74:O74,"&gt;0")</f>
        <v>2</v>
      </c>
      <c r="R74" s="215">
        <f>SMALL(F74:O74,1)+SMALL(F74:O74,2)</f>
        <v>0</v>
      </c>
      <c r="S74" s="215">
        <f>IF(Q74=1,P74,P74-R74)</f>
        <v>119.03999999999999</v>
      </c>
      <c r="T74" s="216">
        <f>RANK(P74,$P$5:$P$230,0)</f>
        <v>70</v>
      </c>
      <c r="U74" s="26">
        <f>RANK(S74,$S$5:$S$230,0)</f>
        <v>70</v>
      </c>
      <c r="W74" s="113">
        <v>28415</v>
      </c>
      <c r="Y74" s="44"/>
      <c r="AD74" s="44"/>
    </row>
    <row r="75" spans="1:30" x14ac:dyDescent="0.2">
      <c r="A75" s="38" t="s">
        <v>73</v>
      </c>
      <c r="B75" s="81">
        <v>66</v>
      </c>
      <c r="C75" s="81" t="s">
        <v>233</v>
      </c>
      <c r="D75" s="146">
        <v>30146</v>
      </c>
      <c r="E75" s="81" t="s">
        <v>214</v>
      </c>
      <c r="F75" s="147">
        <f>IF(ISNA(VLOOKUP($A75,'2 Bridges Relay'!$F$2:$F$67,1,FALSE)),0,VLOOKUP($A75,'2 Bridges Relay'!$F$2:$J$67,5,FALSE))</f>
        <v>100</v>
      </c>
      <c r="G75" s="88">
        <f>IF(ISNA(VLOOKUP($A75,'5M''s'!$D$2:$E$27,1,FALSE)),0,VLOOKUP($A75,'5M''s'!$D$2:$E$27,2,FALSE))</f>
        <v>0</v>
      </c>
      <c r="H75" s="62">
        <f>IF(ISNA(VLOOKUP($A75,'Mile handicap'!$C$2:$C$51,1,FALSE)),0,VLOOKUP($A75,'Mile handicap'!$C$2:$K$51,9,FALSE))</f>
        <v>0</v>
      </c>
      <c r="I75" s="62">
        <f>IF(ISNA(VLOOKUP($A75,'5000m handicap'!$C$2:$C$46,1,FALSE)),0,VLOOKUP($A75,'5000m handicap'!$C$2:$K$46,9,FALSE))</f>
        <v>0</v>
      </c>
      <c r="J75" s="62">
        <f>IF(ISNA(VLOOKUP($A75,'KL handicap'!$C$2:$C$37,1,FALSE)),0,VLOOKUP($A75,'KL handicap'!$C$2:$I$37,7,FALSE))</f>
        <v>0</v>
      </c>
      <c r="K75" s="62">
        <f>IF(ISNA(VLOOKUP($A75,'3000m handicap'!$C$2:$C$47,1,FALSE)),0,VLOOKUP($A75,'3000m handicap'!$C$2:$K$47,9,FALSE))</f>
        <v>0</v>
      </c>
      <c r="L75" s="62">
        <f>IF(ISNA(VLOOKUP($A75,'10 km'!$B$2:$B$50,1,FALSE)),0,VLOOKUP($A75,'10 km'!$B$2:$D$50,3,FALSE))</f>
        <v>0</v>
      </c>
      <c r="M75" s="62">
        <f>IF(ISNA(VLOOKUP($A75,'Peter Moor 2000m'!$C$2:$C$30,1,FALSE)),0,VLOOKUP($A75,'Peter Moor 2000m'!$C$2:$I$30,7,FALSE))</f>
        <v>0</v>
      </c>
      <c r="N75" s="62">
        <f>IF(ISNA(VLOOKUP($A75,'Max Howard Tan handicap'!$C$2:$C$23,1,FALSE)),0,VLOOKUP($A75,'Max Howard Tan handicap'!$C$2:$I$23,7,FALSE))</f>
        <v>0</v>
      </c>
      <c r="O75" s="88">
        <f>IF(ISNA(VLOOKUP($A75,parkrun!$B$2:$H$145,1,FALSE)),0,VLOOKUP($A75,parkrun!$B$2:$H$145,7,FALSE))</f>
        <v>18.059999999999999</v>
      </c>
      <c r="P75" s="133">
        <f>SUM(F75:O75)</f>
        <v>118.06</v>
      </c>
      <c r="Q75" s="134">
        <f>COUNTIF(F75:O75,"&gt;0")</f>
        <v>2</v>
      </c>
      <c r="R75" s="215">
        <f>SMALL(F75:O75,1)+SMALL(F75:O75,2)</f>
        <v>0</v>
      </c>
      <c r="S75" s="215">
        <f>IF(Q75=1,P75,P75-R75)</f>
        <v>118.06</v>
      </c>
      <c r="T75" s="216">
        <f>RANK(P75,$P$5:$P$230,0)</f>
        <v>71</v>
      </c>
      <c r="U75" s="26">
        <f>RANK(S75,$S$5:$S$230,0)</f>
        <v>71</v>
      </c>
      <c r="W75" s="113">
        <v>30858</v>
      </c>
      <c r="Y75" s="44"/>
      <c r="AD75" s="44"/>
    </row>
    <row r="76" spans="1:30" x14ac:dyDescent="0.2">
      <c r="A76" s="38" t="s">
        <v>351</v>
      </c>
      <c r="B76" s="81">
        <v>293</v>
      </c>
      <c r="C76" s="81" t="s">
        <v>233</v>
      </c>
      <c r="D76" s="146">
        <v>27743</v>
      </c>
      <c r="E76" s="81" t="s">
        <v>214</v>
      </c>
      <c r="F76" s="61">
        <f>IF(ISNA(VLOOKUP($A76,'2 Bridges Relay'!$F$2:$F$67,1,FALSE)),0,VLOOKUP($A76,'2 Bridges Relay'!$F$2:$J$67,5,FALSE))</f>
        <v>0</v>
      </c>
      <c r="G76" s="88">
        <f>IF(ISNA(VLOOKUP($A76,'5M''s'!$D$2:$E$27,1,FALSE)),0,VLOOKUP($A76,'5M''s'!$D$2:$E$27,2,FALSE))</f>
        <v>0</v>
      </c>
      <c r="H76" s="62">
        <f>IF(ISNA(VLOOKUP($A76,'Mile handicap'!$C$2:$C$51,1,FALSE)),0,VLOOKUP($A76,'Mile handicap'!$C$2:$K$51,9,FALSE))</f>
        <v>0</v>
      </c>
      <c r="I76" s="62">
        <f>IF(ISNA(VLOOKUP($A76,'5000m handicap'!$C$2:$C$46,1,FALSE)),0,VLOOKUP($A76,'5000m handicap'!$C$2:$K$46,9,FALSE))</f>
        <v>0</v>
      </c>
      <c r="J76" s="62">
        <f>IF(ISNA(VLOOKUP($A76,'KL handicap'!$C$2:$C$37,1,FALSE)),0,VLOOKUP($A76,'KL handicap'!$C$2:$I$37,7,FALSE))</f>
        <v>0</v>
      </c>
      <c r="K76" s="62">
        <f>IF(ISNA(VLOOKUP($A76,'3000m handicap'!$C$2:$C$47,1,FALSE)),0,VLOOKUP($A76,'3000m handicap'!$C$2:$K$47,9,FALSE))</f>
        <v>0</v>
      </c>
      <c r="L76" s="62">
        <f>IF(ISNA(VLOOKUP($A76,'10 km'!$B$2:$B$50,1,FALSE)),0,VLOOKUP($A76,'10 km'!$B$2:$D$50,3,FALSE))</f>
        <v>0</v>
      </c>
      <c r="M76" s="62">
        <f>IF(ISNA(VLOOKUP($A76,'Peter Moor 2000m'!$C$2:$C$30,1,FALSE)),0,VLOOKUP($A76,'Peter Moor 2000m'!$C$2:$I$30,7,FALSE))</f>
        <v>95.45</v>
      </c>
      <c r="N76" s="62">
        <f>IF(ISNA(VLOOKUP($A76,'Max Howard Tan handicap'!$C$2:$C$23,1,FALSE)),0,VLOOKUP($A76,'Max Howard Tan handicap'!$C$2:$I$23,7,FALSE))</f>
        <v>0</v>
      </c>
      <c r="O76" s="88">
        <f>IF(ISNA(VLOOKUP($A76,parkrun!$B$2:$H$145,1,FALSE)),0,VLOOKUP($A76,parkrun!$B$2:$H$145,7,FALSE))</f>
        <v>16.670000000000002</v>
      </c>
      <c r="P76" s="133">
        <f>SUM(F76:O76)</f>
        <v>112.12</v>
      </c>
      <c r="Q76" s="134">
        <f>COUNTIF(F76:O76,"&gt;0")</f>
        <v>2</v>
      </c>
      <c r="R76" s="215">
        <f>SMALL(F76:O76,1)+SMALL(F76:O76,2)</f>
        <v>0</v>
      </c>
      <c r="S76" s="215">
        <f>IF(Q76=1,P76,P76-R76)</f>
        <v>112.12</v>
      </c>
      <c r="T76" s="216">
        <f>RANK(P76,$P$5:$P$230,0)</f>
        <v>72</v>
      </c>
      <c r="U76" s="26">
        <f>RANK(S76,$S$5:$S$230,0)</f>
        <v>72</v>
      </c>
      <c r="W76" s="113">
        <v>18432</v>
      </c>
      <c r="Y76" s="44"/>
      <c r="AD76" s="44"/>
    </row>
    <row r="77" spans="1:30" x14ac:dyDescent="0.2">
      <c r="A77" s="38" t="s">
        <v>138</v>
      </c>
      <c r="B77" s="81">
        <v>165</v>
      </c>
      <c r="C77" s="81" t="s">
        <v>233</v>
      </c>
      <c r="D77" s="146">
        <v>30013</v>
      </c>
      <c r="E77" s="81" t="s">
        <v>214</v>
      </c>
      <c r="F77" s="61">
        <f>IF(ISNA(VLOOKUP($A77,'2 Bridges Relay'!$F$2:$F$67,1,FALSE)),0,VLOOKUP($A77,'2 Bridges Relay'!$F$2:$J$67,5,FALSE))</f>
        <v>0</v>
      </c>
      <c r="G77" s="88">
        <f>IF(ISNA(VLOOKUP($A77,'5M''s'!$D$2:$E$27,1,FALSE)),0,VLOOKUP($A77,'5M''s'!$D$2:$E$27,2,FALSE))</f>
        <v>0</v>
      </c>
      <c r="H77" s="62">
        <f>IF(ISNA(VLOOKUP($A77,'Mile handicap'!$C$2:$C$51,1,FALSE)),0,VLOOKUP($A77,'Mile handicap'!$C$2:$K$51,9,FALSE))</f>
        <v>0</v>
      </c>
      <c r="I77" s="62">
        <f>IF(ISNA(VLOOKUP($A77,'5000m handicap'!$C$2:$C$46,1,FALSE)),0,VLOOKUP($A77,'5000m handicap'!$C$2:$K$46,9,FALSE))</f>
        <v>0</v>
      </c>
      <c r="J77" s="62">
        <f>IF(ISNA(VLOOKUP($A77,'KL handicap'!$C$2:$C$37,1,FALSE)),0,VLOOKUP($A77,'KL handicap'!$C$2:$I$37,7,FALSE))</f>
        <v>0</v>
      </c>
      <c r="K77" s="62">
        <f>IF(ISNA(VLOOKUP($A77,'3000m handicap'!$C$2:$C$47,1,FALSE)),0,VLOOKUP($A77,'3000m handicap'!$C$2:$K$47,9,FALSE))</f>
        <v>0</v>
      </c>
      <c r="L77" s="62">
        <f>IF(ISNA(VLOOKUP($A77,'10 km'!$B$2:$B$50,1,FALSE)),0,VLOOKUP($A77,'10 km'!$B$2:$D$50,3,FALSE))</f>
        <v>57.14</v>
      </c>
      <c r="M77" s="62">
        <f>IF(ISNA(VLOOKUP($A77,'Peter Moor 2000m'!$C$2:$C$30,1,FALSE)),0,VLOOKUP($A77,'Peter Moor 2000m'!$C$2:$I$30,7,FALSE))</f>
        <v>0</v>
      </c>
      <c r="N77" s="62">
        <f>IF(ISNA(VLOOKUP($A77,'Max Howard Tan handicap'!$C$2:$C$23,1,FALSE)),0,VLOOKUP($A77,'Max Howard Tan handicap'!$C$2:$I$23,7,FALSE))</f>
        <v>0</v>
      </c>
      <c r="O77" s="88">
        <f>IF(ISNA(VLOOKUP($A77,parkrun!$B$2:$H$145,1,FALSE)),0,VLOOKUP($A77,parkrun!$B$2:$H$145,7,FALSE))</f>
        <v>54.86</v>
      </c>
      <c r="P77" s="133">
        <f>SUM(F77:O77)</f>
        <v>112</v>
      </c>
      <c r="Q77" s="134">
        <f>COUNTIF(F77:O77,"&gt;0")</f>
        <v>2</v>
      </c>
      <c r="R77" s="215">
        <f>SMALL(F77:O77,1)+SMALL(F77:O77,2)</f>
        <v>0</v>
      </c>
      <c r="S77" s="215">
        <f>IF(Q77=1,P77,P77-R77)</f>
        <v>112</v>
      </c>
      <c r="T77" s="216">
        <f>RANK(P77,$P$5:$P$230,0)</f>
        <v>73</v>
      </c>
      <c r="U77" s="26">
        <f>RANK(S77,$S$5:$S$230,0)</f>
        <v>73</v>
      </c>
      <c r="W77" s="113">
        <v>25876</v>
      </c>
      <c r="Y77" s="44"/>
      <c r="AD77" s="44"/>
    </row>
    <row r="78" spans="1:30" x14ac:dyDescent="0.2">
      <c r="A78" s="38" t="s">
        <v>93</v>
      </c>
      <c r="B78" s="81">
        <v>88</v>
      </c>
      <c r="C78" s="81" t="s">
        <v>233</v>
      </c>
      <c r="D78" s="146">
        <v>28649</v>
      </c>
      <c r="E78" s="81" t="s">
        <v>214</v>
      </c>
      <c r="F78" s="61">
        <f>IF(ISNA(VLOOKUP($A78,'2 Bridges Relay'!$F$2:$F$67,1,FALSE)),0,VLOOKUP($A78,'2 Bridges Relay'!$F$2:$J$67,5,FALSE))</f>
        <v>0</v>
      </c>
      <c r="G78" s="88">
        <f>IF(ISNA(VLOOKUP($A78,'5M''s'!$D$2:$E$27,1,FALSE)),0,VLOOKUP($A78,'5M''s'!$D$2:$E$27,2,FALSE))</f>
        <v>0</v>
      </c>
      <c r="H78" s="62">
        <f>IF(ISNA(VLOOKUP($A78,'Mile handicap'!$C$2:$C$51,1,FALSE)),0,VLOOKUP($A78,'Mile handicap'!$C$2:$K$51,9,FALSE))</f>
        <v>0</v>
      </c>
      <c r="I78" s="62">
        <f>IF(ISNA(VLOOKUP($A78,'5000m handicap'!$C$2:$C$46,1,FALSE)),0,VLOOKUP($A78,'5000m handicap'!$C$2:$K$46,9,FALSE))</f>
        <v>0</v>
      </c>
      <c r="J78" s="62">
        <f>IF(ISNA(VLOOKUP($A78,'KL handicap'!$C$2:$C$37,1,FALSE)),0,VLOOKUP($A78,'KL handicap'!$C$2:$I$37,7,FALSE))</f>
        <v>0</v>
      </c>
      <c r="K78" s="62">
        <f>IF(ISNA(VLOOKUP($A78,'3000m handicap'!$C$2:$C$47,1,FALSE)),0,VLOOKUP($A78,'3000m handicap'!$C$2:$K$47,9,FALSE))</f>
        <v>0</v>
      </c>
      <c r="L78" s="62">
        <f>IF(ISNA(VLOOKUP($A78,'10 km'!$B$2:$B$50,1,FALSE)),0,VLOOKUP($A78,'10 km'!$B$2:$D$50,3,FALSE))</f>
        <v>55.1</v>
      </c>
      <c r="M78" s="62">
        <f>IF(ISNA(VLOOKUP($A78,'Peter Moor 2000m'!$C$2:$C$30,1,FALSE)),0,VLOOKUP($A78,'Peter Moor 2000m'!$C$2:$I$30,7,FALSE))</f>
        <v>0</v>
      </c>
      <c r="N78" s="62">
        <f>IF(ISNA(VLOOKUP($A78,'Max Howard Tan handicap'!$C$2:$C$23,1,FALSE)),0,VLOOKUP($A78,'Max Howard Tan handicap'!$C$2:$I$23,7,FALSE))</f>
        <v>0</v>
      </c>
      <c r="O78" s="88">
        <f>IF(ISNA(VLOOKUP($A78,parkrun!$B$2:$H$145,1,FALSE)),0,VLOOKUP($A78,parkrun!$B$2:$H$145,7,FALSE))</f>
        <v>54.17</v>
      </c>
      <c r="P78" s="133">
        <f>SUM(F78:O78)</f>
        <v>109.27000000000001</v>
      </c>
      <c r="Q78" s="134">
        <f>COUNTIF(F78:O78,"&gt;0")</f>
        <v>2</v>
      </c>
      <c r="R78" s="215">
        <f>SMALL(F78:O78,1)+SMALL(F78:O78,2)</f>
        <v>0</v>
      </c>
      <c r="S78" s="215">
        <f>IF(Q78=1,P78,P78-R78)</f>
        <v>109.27000000000001</v>
      </c>
      <c r="T78" s="216">
        <f>RANK(P78,$P$5:$P$230,0)</f>
        <v>74</v>
      </c>
      <c r="U78" s="26">
        <f>RANK(S78,$S$5:$S$230,0)</f>
        <v>74</v>
      </c>
      <c r="W78" s="113">
        <v>28117</v>
      </c>
      <c r="Y78" s="44"/>
      <c r="AD78" s="44"/>
    </row>
    <row r="79" spans="1:30" x14ac:dyDescent="0.2">
      <c r="A79" s="38" t="s">
        <v>373</v>
      </c>
      <c r="B79" s="81">
        <v>305</v>
      </c>
      <c r="C79" s="81" t="s">
        <v>233</v>
      </c>
      <c r="D79" s="146">
        <v>30551</v>
      </c>
      <c r="E79" s="81" t="s">
        <v>214</v>
      </c>
      <c r="F79" s="61">
        <f>IF(ISNA(VLOOKUP($A79,'2 Bridges Relay'!$F$2:$F$67,1,FALSE)),0,VLOOKUP($A79,'2 Bridges Relay'!$F$2:$J$67,5,FALSE))</f>
        <v>0</v>
      </c>
      <c r="G79" s="88">
        <f>IF(ISNA(VLOOKUP($A79,'5M''s'!$D$2:$E$27,1,FALSE)),0,VLOOKUP($A79,'5M''s'!$D$2:$E$27,2,FALSE))</f>
        <v>0</v>
      </c>
      <c r="H79" s="62">
        <f>IF(ISNA(VLOOKUP($A79,'Mile handicap'!$C$2:$C$51,1,FALSE)),0,VLOOKUP($A79,'Mile handicap'!$C$2:$K$51,9,FALSE))</f>
        <v>78.05</v>
      </c>
      <c r="I79" s="62">
        <f>IF(ISNA(VLOOKUP($A79,'5000m handicap'!$C$2:$C$46,1,FALSE)),0,VLOOKUP($A79,'5000m handicap'!$C$2:$K$46,9,FALSE))</f>
        <v>21.05</v>
      </c>
      <c r="J79" s="62">
        <f>IF(ISNA(VLOOKUP($A79,'KL handicap'!$C$2:$C$37,1,FALSE)),0,VLOOKUP($A79,'KL handicap'!$C$2:$I$37,7,FALSE))</f>
        <v>0</v>
      </c>
      <c r="K79" s="62">
        <f>IF(ISNA(VLOOKUP($A79,'3000m handicap'!$C$2:$C$47,1,FALSE)),0,VLOOKUP($A79,'3000m handicap'!$C$2:$K$47,9,FALSE))</f>
        <v>0</v>
      </c>
      <c r="L79" s="62">
        <f>IF(ISNA(VLOOKUP($A79,'10 km'!$B$2:$B$50,1,FALSE)),0,VLOOKUP($A79,'10 km'!$B$2:$D$50,3,FALSE))</f>
        <v>0</v>
      </c>
      <c r="M79" s="62">
        <f>IF(ISNA(VLOOKUP($A79,'Peter Moor 2000m'!$C$2:$C$30,1,FALSE)),0,VLOOKUP($A79,'Peter Moor 2000m'!$C$2:$I$30,7,FALSE))</f>
        <v>0</v>
      </c>
      <c r="N79" s="62">
        <f>IF(ISNA(VLOOKUP($A79,'Max Howard Tan handicap'!$C$2:$C$23,1,FALSE)),0,VLOOKUP($A79,'Max Howard Tan handicap'!$C$2:$I$23,7,FALSE))</f>
        <v>0</v>
      </c>
      <c r="O79" s="88">
        <f>IF(ISNA(VLOOKUP($A79,parkrun!$B$2:$H$145,1,FALSE)),0,VLOOKUP($A79,parkrun!$B$2:$H$145,7,FALSE))</f>
        <v>7.64</v>
      </c>
      <c r="P79" s="133">
        <f>SUM(F79:O79)</f>
        <v>106.74</v>
      </c>
      <c r="Q79" s="134">
        <f>COUNTIF(F79:O79,"&gt;0")</f>
        <v>3</v>
      </c>
      <c r="R79" s="215">
        <f>SMALL(F79:O79,1)+SMALL(F79:O79,2)</f>
        <v>0</v>
      </c>
      <c r="S79" s="215">
        <f>IF(Q79=1,P79,P79-R79)</f>
        <v>106.74</v>
      </c>
      <c r="T79" s="216">
        <f>RANK(P79,$P$5:$P$230,0)</f>
        <v>75</v>
      </c>
      <c r="U79" s="26">
        <f>RANK(S79,$S$5:$S$230,0)</f>
        <v>75</v>
      </c>
      <c r="W79" s="113">
        <v>27917</v>
      </c>
      <c r="Y79" s="44"/>
      <c r="AD79" s="44"/>
    </row>
    <row r="80" spans="1:30" x14ac:dyDescent="0.2">
      <c r="A80" s="38" t="s">
        <v>106</v>
      </c>
      <c r="B80" s="81">
        <v>134</v>
      </c>
      <c r="C80" s="81" t="s">
        <v>233</v>
      </c>
      <c r="D80" s="146">
        <v>29762</v>
      </c>
      <c r="E80" s="81" t="s">
        <v>214</v>
      </c>
      <c r="F80" s="61">
        <f>IF(ISNA(VLOOKUP($A80,'2 Bridges Relay'!$F$2:$F$67,1,FALSE)),0,VLOOKUP($A80,'2 Bridges Relay'!$F$2:$J$67,5,FALSE))</f>
        <v>80</v>
      </c>
      <c r="G80" s="88">
        <f>IF(ISNA(VLOOKUP($A80,'5M''s'!$D$2:$E$27,1,FALSE)),0,VLOOKUP($A80,'5M''s'!$D$2:$E$27,2,FALSE))</f>
        <v>0</v>
      </c>
      <c r="H80" s="62">
        <f>IF(ISNA(VLOOKUP($A80,'Mile handicap'!$C$2:$C$51,1,FALSE)),0,VLOOKUP($A80,'Mile handicap'!$C$2:$K$51,9,FALSE))</f>
        <v>21.95</v>
      </c>
      <c r="I80" s="62">
        <f>IF(ISNA(VLOOKUP($A80,'5000m handicap'!$C$2:$C$46,1,FALSE)),0,VLOOKUP($A80,'5000m handicap'!$C$2:$K$46,9,FALSE))</f>
        <v>0</v>
      </c>
      <c r="J80" s="62">
        <f>IF(ISNA(VLOOKUP($A80,'KL handicap'!$C$2:$C$37,1,FALSE)),0,VLOOKUP($A80,'KL handicap'!$C$2:$I$37,7,FALSE))</f>
        <v>0</v>
      </c>
      <c r="K80" s="62">
        <f>IF(ISNA(VLOOKUP($A80,'3000m handicap'!$C$2:$C$47,1,FALSE)),0,VLOOKUP($A80,'3000m handicap'!$C$2:$K$47,9,FALSE))</f>
        <v>0</v>
      </c>
      <c r="L80" s="62">
        <f>IF(ISNA(VLOOKUP($A80,'10 km'!$B$2:$B$50,1,FALSE)),0,VLOOKUP($A80,'10 km'!$B$2:$D$50,3,FALSE))</f>
        <v>0</v>
      </c>
      <c r="M80" s="62">
        <f>IF(ISNA(VLOOKUP($A80,'Peter Moor 2000m'!$C$2:$C$30,1,FALSE)),0,VLOOKUP($A80,'Peter Moor 2000m'!$C$2:$I$30,7,FALSE))</f>
        <v>0</v>
      </c>
      <c r="N80" s="62">
        <f>IF(ISNA(VLOOKUP($A80,'Max Howard Tan handicap'!$C$2:$C$23,1,FALSE)),0,VLOOKUP($A80,'Max Howard Tan handicap'!$C$2:$I$23,7,FALSE))</f>
        <v>0</v>
      </c>
      <c r="O80" s="88">
        <f>IF(ISNA(VLOOKUP($A80,parkrun!$B$2:$H$145,1,FALSE)),0,VLOOKUP($A80,parkrun!$B$2:$H$145,7,FALSE))</f>
        <v>0</v>
      </c>
      <c r="P80" s="133">
        <f>SUM(F80:O80)</f>
        <v>101.95</v>
      </c>
      <c r="Q80" s="134">
        <f>COUNTIF(F80:O80,"&gt;0")</f>
        <v>2</v>
      </c>
      <c r="R80" s="215">
        <f>SMALL(F80:O80,1)+SMALL(F80:O80,2)</f>
        <v>0</v>
      </c>
      <c r="S80" s="215">
        <f>IF(Q80=1,P80,P80-R80)</f>
        <v>101.95</v>
      </c>
      <c r="T80" s="216">
        <f>RANK(P80,$P$5:$P$230,0)</f>
        <v>76</v>
      </c>
      <c r="U80" s="26">
        <f>RANK(S80,$S$5:$S$230,0)</f>
        <v>76</v>
      </c>
      <c r="W80" s="113">
        <v>27030</v>
      </c>
      <c r="Y80" s="44"/>
      <c r="AD80" s="44"/>
    </row>
    <row r="81" spans="1:30" x14ac:dyDescent="0.2">
      <c r="A81" s="38" t="s">
        <v>96</v>
      </c>
      <c r="B81" s="81">
        <v>116</v>
      </c>
      <c r="C81" s="81" t="s">
        <v>233</v>
      </c>
      <c r="D81" s="146">
        <v>29729</v>
      </c>
      <c r="E81" s="81" t="s">
        <v>214</v>
      </c>
      <c r="F81" s="147">
        <f>IF(ISNA(VLOOKUP($A81,'2 Bridges Relay'!$F$2:$F$67,1,FALSE)),0,VLOOKUP($A81,'2 Bridges Relay'!$F$2:$J$67,5,FALSE))</f>
        <v>100</v>
      </c>
      <c r="G81" s="88">
        <f>IF(ISNA(VLOOKUP($A81,'5M''s'!$D$2:$E$27,1,FALSE)),0,VLOOKUP($A81,'5M''s'!$D$2:$E$27,2,FALSE))</f>
        <v>0</v>
      </c>
      <c r="H81" s="62">
        <f>IF(ISNA(VLOOKUP($A81,'Mile handicap'!$C$2:$C$51,1,FALSE)),0,VLOOKUP($A81,'Mile handicap'!$C$2:$K$51,9,FALSE))</f>
        <v>0</v>
      </c>
      <c r="I81" s="62">
        <f>IF(ISNA(VLOOKUP($A81,'5000m handicap'!$C$2:$C$46,1,FALSE)),0,VLOOKUP($A81,'5000m handicap'!$C$2:$K$46,9,FALSE))</f>
        <v>0</v>
      </c>
      <c r="J81" s="62">
        <f>IF(ISNA(VLOOKUP($A81,'KL handicap'!$C$2:$C$37,1,FALSE)),0,VLOOKUP($A81,'KL handicap'!$C$2:$I$37,7,FALSE))</f>
        <v>0</v>
      </c>
      <c r="K81" s="62">
        <f>IF(ISNA(VLOOKUP($A81,'3000m handicap'!$C$2:$C$47,1,FALSE)),0,VLOOKUP($A81,'3000m handicap'!$C$2:$K$47,9,FALSE))</f>
        <v>0</v>
      </c>
      <c r="L81" s="62">
        <f>IF(ISNA(VLOOKUP($A81,'10 km'!$B$2:$B$50,1,FALSE)),0,VLOOKUP($A81,'10 km'!$B$2:$D$50,3,FALSE))</f>
        <v>0</v>
      </c>
      <c r="M81" s="62">
        <f>IF(ISNA(VLOOKUP($A81,'Peter Moor 2000m'!$C$2:$C$30,1,FALSE)),0,VLOOKUP($A81,'Peter Moor 2000m'!$C$2:$I$30,7,FALSE))</f>
        <v>0</v>
      </c>
      <c r="N81" s="62">
        <f>IF(ISNA(VLOOKUP($A81,'Max Howard Tan handicap'!$C$2:$C$23,1,FALSE)),0,VLOOKUP($A81,'Max Howard Tan handicap'!$C$2:$I$23,7,FALSE))</f>
        <v>0</v>
      </c>
      <c r="O81" s="88">
        <f>IF(ISNA(VLOOKUP($A81,parkrun!$B$2:$H$145,1,FALSE)),0,VLOOKUP($A81,parkrun!$B$2:$H$145,7,FALSE))</f>
        <v>0</v>
      </c>
      <c r="P81" s="133">
        <f>SUM(F81:O81)</f>
        <v>100</v>
      </c>
      <c r="Q81" s="134">
        <f>COUNTIF(F81:O81,"&gt;0")</f>
        <v>1</v>
      </c>
      <c r="R81" s="215">
        <f>SMALL(F81:O81,1)+SMALL(F81:O81,2)</f>
        <v>0</v>
      </c>
      <c r="S81" s="215">
        <f>IF(Q81=1,P81,P81-R81)</f>
        <v>100</v>
      </c>
      <c r="T81" s="216">
        <f>RANK(P81,$P$5:$P$230,0)</f>
        <v>77</v>
      </c>
      <c r="U81" s="26">
        <f>RANK(S81,$S$5:$S$230,0)</f>
        <v>77</v>
      </c>
      <c r="W81" s="113">
        <v>33615</v>
      </c>
      <c r="Y81" s="44"/>
      <c r="AD81" s="44"/>
    </row>
    <row r="82" spans="1:30" x14ac:dyDescent="0.2">
      <c r="A82" s="38" t="s">
        <v>144</v>
      </c>
      <c r="B82" s="81">
        <v>166</v>
      </c>
      <c r="C82" s="81" t="s">
        <v>233</v>
      </c>
      <c r="D82" s="146">
        <v>25984</v>
      </c>
      <c r="E82" s="81" t="s">
        <v>214</v>
      </c>
      <c r="F82" s="61">
        <f>IF(ISNA(VLOOKUP($A82,'2 Bridges Relay'!$F$2:$F$67,1,FALSE)),0,VLOOKUP($A82,'2 Bridges Relay'!$F$2:$J$67,5,FALSE))</f>
        <v>0</v>
      </c>
      <c r="G82" s="88">
        <f>IF(ISNA(VLOOKUP($A82,'5M''s'!$D$2:$E$27,1,FALSE)),0,VLOOKUP($A82,'5M''s'!$D$2:$E$27,2,FALSE))</f>
        <v>0</v>
      </c>
      <c r="H82" s="62">
        <f>IF(ISNA(VLOOKUP($A82,'Mile handicap'!$C$2:$C$51,1,FALSE)),0,VLOOKUP($A82,'Mile handicap'!$C$2:$K$51,9,FALSE))</f>
        <v>0</v>
      </c>
      <c r="I82" s="62">
        <f>IF(ISNA(VLOOKUP($A82,'5000m handicap'!$C$2:$C$46,1,FALSE)),0,VLOOKUP($A82,'5000m handicap'!$C$2:$K$46,9,FALSE))</f>
        <v>0</v>
      </c>
      <c r="J82" s="62">
        <f>IF(ISNA(VLOOKUP($A82,'KL handicap'!$C$2:$C$37,1,FALSE)),0,VLOOKUP($A82,'KL handicap'!$C$2:$I$37,7,FALSE))</f>
        <v>0</v>
      </c>
      <c r="K82" s="62">
        <f>IF(ISNA(VLOOKUP($A82,'3000m handicap'!$C$2:$C$47,1,FALSE)),0,VLOOKUP($A82,'3000m handicap'!$C$2:$K$47,9,FALSE))</f>
        <v>100</v>
      </c>
      <c r="L82" s="62">
        <f>IF(ISNA(VLOOKUP($A82,'10 km'!$B$2:$B$50,1,FALSE)),0,VLOOKUP($A82,'10 km'!$B$2:$D$50,3,FALSE))</f>
        <v>0</v>
      </c>
      <c r="M82" s="62">
        <f>IF(ISNA(VLOOKUP($A82,'Peter Moor 2000m'!$C$2:$C$30,1,FALSE)),0,VLOOKUP($A82,'Peter Moor 2000m'!$C$2:$I$30,7,FALSE))</f>
        <v>0</v>
      </c>
      <c r="N82" s="62">
        <f>IF(ISNA(VLOOKUP($A82,'Max Howard Tan handicap'!$C$2:$C$23,1,FALSE)),0,VLOOKUP($A82,'Max Howard Tan handicap'!$C$2:$I$23,7,FALSE))</f>
        <v>0</v>
      </c>
      <c r="O82" s="88">
        <f>IF(ISNA(VLOOKUP($A82,parkrun!$B$2:$H$145,1,FALSE)),0,VLOOKUP($A82,parkrun!$B$2:$H$145,7,FALSE))</f>
        <v>0</v>
      </c>
      <c r="P82" s="133">
        <f>SUM(F82:O82)</f>
        <v>100</v>
      </c>
      <c r="Q82" s="134">
        <f>COUNTIF(F82:O82,"&gt;0")</f>
        <v>1</v>
      </c>
      <c r="R82" s="215">
        <f>SMALL(F82:O82,1)+SMALL(F82:O82,2)</f>
        <v>0</v>
      </c>
      <c r="S82" s="215">
        <f>IF(Q82=1,P82,P82-R82)</f>
        <v>100</v>
      </c>
      <c r="T82" s="216">
        <f>RANK(P82,$P$5:$P$230,0)</f>
        <v>77</v>
      </c>
      <c r="U82" s="26">
        <f>RANK(S82,$S$5:$S$230,0)</f>
        <v>77</v>
      </c>
      <c r="W82" s="113">
        <v>28953</v>
      </c>
      <c r="Y82" s="44"/>
      <c r="AD82" s="44"/>
    </row>
    <row r="83" spans="1:30" x14ac:dyDescent="0.2">
      <c r="A83" s="38" t="s">
        <v>104</v>
      </c>
      <c r="B83" s="81">
        <v>115</v>
      </c>
      <c r="C83" s="81" t="s">
        <v>233</v>
      </c>
      <c r="D83" s="146">
        <v>19069</v>
      </c>
      <c r="E83" s="81" t="s">
        <v>196</v>
      </c>
      <c r="F83" s="61">
        <f>IF(ISNA(VLOOKUP($A83,'2 Bridges Relay'!$F$2:$F$67,1,FALSE)),0,VLOOKUP($A83,'2 Bridges Relay'!$F$2:$J$67,5,FALSE))</f>
        <v>0</v>
      </c>
      <c r="G83" s="88">
        <f>IF(ISNA(VLOOKUP($A83,'5M''s'!$D$2:$E$27,1,FALSE)),0,VLOOKUP($A83,'5M''s'!$D$2:$E$27,2,FALSE))</f>
        <v>0</v>
      </c>
      <c r="H83" s="62">
        <f>IF(ISNA(VLOOKUP($A83,'Mile handicap'!$C$2:$C$51,1,FALSE)),0,VLOOKUP($A83,'Mile handicap'!$C$2:$K$51,9,FALSE))</f>
        <v>0</v>
      </c>
      <c r="I83" s="62">
        <f>IF(ISNA(VLOOKUP($A83,'5000m handicap'!$C$2:$C$46,1,FALSE)),0,VLOOKUP($A83,'5000m handicap'!$C$2:$K$46,9,FALSE))</f>
        <v>0</v>
      </c>
      <c r="J83" s="62">
        <f>IF(ISNA(VLOOKUP($A83,'KL handicap'!$C$2:$C$37,1,FALSE)),0,VLOOKUP($A83,'KL handicap'!$C$2:$I$37,7,FALSE))</f>
        <v>0</v>
      </c>
      <c r="K83" s="62">
        <f>IF(ISNA(VLOOKUP($A83,'3000m handicap'!$C$2:$C$47,1,FALSE)),0,VLOOKUP($A83,'3000m handicap'!$C$2:$K$47,9,FALSE))</f>
        <v>0</v>
      </c>
      <c r="L83" s="62">
        <f>IF(ISNA(VLOOKUP($A83,'10 km'!$B$2:$B$50,1,FALSE)),0,VLOOKUP($A83,'10 km'!$B$2:$D$50,3,FALSE))</f>
        <v>0</v>
      </c>
      <c r="M83" s="224">
        <f>IF(ISNA(VLOOKUP($A83,'Peter Moor 2000m'!$C$2:$C$30,1,FALSE)),0,VLOOKUP($A83,'Peter Moor 2000m'!$C$2:$I$30,7,FALSE))</f>
        <v>100</v>
      </c>
      <c r="N83" s="62">
        <f>IF(ISNA(VLOOKUP($A83,'Max Howard Tan handicap'!$C$2:$C$23,1,FALSE)),0,VLOOKUP($A83,'Max Howard Tan handicap'!$C$2:$I$23,7,FALSE))</f>
        <v>0</v>
      </c>
      <c r="O83" s="88">
        <f>IF(ISNA(VLOOKUP($A83,parkrun!$B$2:$H$145,1,FALSE)),0,VLOOKUP($A83,parkrun!$B$2:$H$145,7,FALSE))</f>
        <v>0</v>
      </c>
      <c r="P83" s="133">
        <f>SUM(F83:O83)</f>
        <v>100</v>
      </c>
      <c r="Q83" s="134">
        <f>COUNTIF(F83:O83,"&gt;0")</f>
        <v>1</v>
      </c>
      <c r="R83" s="215">
        <f>SMALL(F83:O83,1)+SMALL(F83:O83,2)</f>
        <v>0</v>
      </c>
      <c r="S83" s="215">
        <f>IF(Q83=1,P83,P83-R83)</f>
        <v>100</v>
      </c>
      <c r="T83" s="216">
        <f>RANK(P83,$P$5:$P$230,0)</f>
        <v>77</v>
      </c>
      <c r="U83" s="26">
        <f>RANK(S83,$S$5:$S$230,0)</f>
        <v>77</v>
      </c>
      <c r="W83" s="113">
        <v>28774</v>
      </c>
      <c r="Y83" s="44"/>
      <c r="AD83" s="44"/>
    </row>
    <row r="84" spans="1:30" x14ac:dyDescent="0.2">
      <c r="A84" s="38" t="s">
        <v>146</v>
      </c>
      <c r="B84" s="81">
        <v>44</v>
      </c>
      <c r="C84" s="81" t="s">
        <v>233</v>
      </c>
      <c r="D84" s="146">
        <v>25305</v>
      </c>
      <c r="E84" s="81" t="s">
        <v>214</v>
      </c>
      <c r="F84" s="61">
        <f>IF(ISNA(VLOOKUP($A84,'2 Bridges Relay'!$F$2:$F$67,1,FALSE)),0,VLOOKUP($A84,'2 Bridges Relay'!$F$2:$J$67,5,FALSE))</f>
        <v>0</v>
      </c>
      <c r="G84" s="88">
        <f>IF(ISNA(VLOOKUP($A84,'5M''s'!$D$2:$E$27,1,FALSE)),0,VLOOKUP($A84,'5M''s'!$D$2:$E$27,2,FALSE))</f>
        <v>0</v>
      </c>
      <c r="H84" s="62">
        <f>IF(ISNA(VLOOKUP($A84,'Mile handicap'!$C$2:$C$51,1,FALSE)),0,VLOOKUP($A84,'Mile handicap'!$C$2:$K$51,9,FALSE))</f>
        <v>0</v>
      </c>
      <c r="I84" s="62">
        <f>IF(ISNA(VLOOKUP($A84,'5000m handicap'!$C$2:$C$46,1,FALSE)),0,VLOOKUP($A84,'5000m handicap'!$C$2:$K$46,9,FALSE))</f>
        <v>0</v>
      </c>
      <c r="J84" s="62">
        <f>IF(ISNA(VLOOKUP($A84,'KL handicap'!$C$2:$C$37,1,FALSE)),0,VLOOKUP($A84,'KL handicap'!$C$2:$I$37,7,FALSE))</f>
        <v>0</v>
      </c>
      <c r="K84" s="62">
        <f>IF(ISNA(VLOOKUP($A84,'3000m handicap'!$C$2:$C$47,1,FALSE)),0,VLOOKUP($A84,'3000m handicap'!$C$2:$K$47,9,FALSE))</f>
        <v>0</v>
      </c>
      <c r="L84" s="62">
        <f>IF(ISNA(VLOOKUP($A84,'10 km'!$B$2:$B$50,1,FALSE)),0,VLOOKUP($A84,'10 km'!$B$2:$D$50,3,FALSE))</f>
        <v>0</v>
      </c>
      <c r="M84" s="62">
        <f>IF(ISNA(VLOOKUP($A84,'Peter Moor 2000m'!$C$2:$C$30,1,FALSE)),0,VLOOKUP($A84,'Peter Moor 2000m'!$C$2:$I$30,7,FALSE))</f>
        <v>0</v>
      </c>
      <c r="N84" s="62">
        <f>IF(ISNA(VLOOKUP($A84,'Max Howard Tan handicap'!$C$2:$C$23,1,FALSE)),0,VLOOKUP($A84,'Max Howard Tan handicap'!$C$2:$I$23,7,FALSE))</f>
        <v>0</v>
      </c>
      <c r="O84" s="88">
        <f>IF(ISNA(VLOOKUP($A84,parkrun!$B$2:$H$145,1,FALSE)),0,VLOOKUP($A84,parkrun!$B$2:$H$145,7,FALSE))</f>
        <v>99.31</v>
      </c>
      <c r="P84" s="133">
        <f>SUM(F84:O84)</f>
        <v>99.31</v>
      </c>
      <c r="Q84" s="134">
        <f>COUNTIF(F84:O84,"&gt;0")</f>
        <v>1</v>
      </c>
      <c r="R84" s="215">
        <f>SMALL(F84:O84,1)+SMALL(F84:O84,2)</f>
        <v>0</v>
      </c>
      <c r="S84" s="215">
        <f>IF(Q84=1,P84,P84-R84)</f>
        <v>99.31</v>
      </c>
      <c r="T84" s="216">
        <f>RANK(P84,$P$5:$P$230,0)</f>
        <v>80</v>
      </c>
      <c r="U84" s="26">
        <f>RANK(S84,$S$5:$S$230,0)</f>
        <v>80</v>
      </c>
      <c r="W84" s="113">
        <v>26592</v>
      </c>
      <c r="Y84" s="44"/>
      <c r="AD84" s="44"/>
    </row>
    <row r="85" spans="1:30" x14ac:dyDescent="0.2">
      <c r="A85" s="38" t="s">
        <v>88</v>
      </c>
      <c r="B85" s="81">
        <v>50</v>
      </c>
      <c r="C85" s="81" t="s">
        <v>233</v>
      </c>
      <c r="D85" s="146">
        <v>26154</v>
      </c>
      <c r="E85" s="81" t="s">
        <v>214</v>
      </c>
      <c r="F85" s="61">
        <f>IF(ISNA(VLOOKUP($A85,'2 Bridges Relay'!$F$2:$F$67,1,FALSE)),0,VLOOKUP($A85,'2 Bridges Relay'!$F$2:$J$67,5,FALSE))</f>
        <v>0</v>
      </c>
      <c r="G85" s="88">
        <f>IF(ISNA(VLOOKUP($A85,'5M''s'!$D$2:$E$27,1,FALSE)),0,VLOOKUP($A85,'5M''s'!$D$2:$E$27,2,FALSE))</f>
        <v>0</v>
      </c>
      <c r="H85" s="62">
        <f>IF(ISNA(VLOOKUP($A85,'Mile handicap'!$C$2:$C$51,1,FALSE)),0,VLOOKUP($A85,'Mile handicap'!$C$2:$K$51,9,FALSE))</f>
        <v>0</v>
      </c>
      <c r="I85" s="62">
        <f>IF(ISNA(VLOOKUP($A85,'5000m handicap'!$C$2:$C$46,1,FALSE)),0,VLOOKUP($A85,'5000m handicap'!$C$2:$K$46,9,FALSE))</f>
        <v>0</v>
      </c>
      <c r="J85" s="62">
        <f>IF(ISNA(VLOOKUP($A85,'KL handicap'!$C$2:$C$37,1,FALSE)),0,VLOOKUP($A85,'KL handicap'!$C$2:$I$37,7,FALSE))</f>
        <v>0</v>
      </c>
      <c r="K85" s="62">
        <f>IF(ISNA(VLOOKUP($A85,'3000m handicap'!$C$2:$C$47,1,FALSE)),0,VLOOKUP($A85,'3000m handicap'!$C$2:$K$47,9,FALSE))</f>
        <v>0</v>
      </c>
      <c r="L85" s="62">
        <f>IF(ISNA(VLOOKUP($A85,'10 km'!$B$2:$B$50,1,FALSE)),0,VLOOKUP($A85,'10 km'!$B$2:$D$50,3,FALSE))</f>
        <v>0</v>
      </c>
      <c r="M85" s="62">
        <f>IF(ISNA(VLOOKUP($A85,'Peter Moor 2000m'!$C$2:$C$30,1,FALSE)),0,VLOOKUP($A85,'Peter Moor 2000m'!$C$2:$I$30,7,FALSE))</f>
        <v>0</v>
      </c>
      <c r="N85" s="62">
        <f>IF(ISNA(VLOOKUP($A85,'Max Howard Tan handicap'!$C$2:$C$23,1,FALSE)),0,VLOOKUP($A85,'Max Howard Tan handicap'!$C$2:$I$23,7,FALSE))</f>
        <v>0</v>
      </c>
      <c r="O85" s="88">
        <f>IF(ISNA(VLOOKUP($A85,parkrun!$B$2:$H$145,1,FALSE)),0,VLOOKUP($A85,parkrun!$B$2:$H$145,7,FALSE))</f>
        <v>98.61</v>
      </c>
      <c r="P85" s="133">
        <f>SUM(F85:O85)</f>
        <v>98.61</v>
      </c>
      <c r="Q85" s="134">
        <f>COUNTIF(F85:O85,"&gt;0")</f>
        <v>1</v>
      </c>
      <c r="R85" s="215">
        <f>SMALL(F85:O85,1)+SMALL(F85:O85,2)</f>
        <v>0</v>
      </c>
      <c r="S85" s="215">
        <f>IF(Q85=1,P85,P85-R85)</f>
        <v>98.61</v>
      </c>
      <c r="T85" s="216">
        <f>RANK(P85,$P$5:$P$230,0)</f>
        <v>81</v>
      </c>
      <c r="U85" s="26">
        <f>RANK(S85,$S$5:$S$230,0)</f>
        <v>81</v>
      </c>
      <c r="W85" s="113">
        <v>30358</v>
      </c>
      <c r="Y85" s="44"/>
      <c r="AD85" s="44"/>
    </row>
    <row r="86" spans="1:30" x14ac:dyDescent="0.2">
      <c r="A86" s="38" t="s">
        <v>225</v>
      </c>
      <c r="B86" s="81">
        <v>229</v>
      </c>
      <c r="C86" s="81" t="s">
        <v>233</v>
      </c>
      <c r="D86" s="146">
        <v>24987</v>
      </c>
      <c r="E86" s="81" t="s">
        <v>196</v>
      </c>
      <c r="F86" s="61">
        <f>IF(ISNA(VLOOKUP($A86,'2 Bridges Relay'!$F$2:$F$67,1,FALSE)),0,VLOOKUP($A86,'2 Bridges Relay'!$F$2:$J$67,5,FALSE))</f>
        <v>0</v>
      </c>
      <c r="G86" s="88">
        <f>IF(ISNA(VLOOKUP($A86,'5M''s'!$D$2:$E$27,1,FALSE)),0,VLOOKUP($A86,'5M''s'!$D$2:$E$27,2,FALSE))</f>
        <v>0</v>
      </c>
      <c r="H86" s="62">
        <f>IF(ISNA(VLOOKUP($A86,'Mile handicap'!$C$2:$C$51,1,FALSE)),0,VLOOKUP($A86,'Mile handicap'!$C$2:$K$51,9,FALSE))</f>
        <v>0</v>
      </c>
      <c r="I86" s="62">
        <f>IF(ISNA(VLOOKUP($A86,'5000m handicap'!$C$2:$C$46,1,FALSE)),0,VLOOKUP($A86,'5000m handicap'!$C$2:$K$46,9,FALSE))</f>
        <v>63.16</v>
      </c>
      <c r="J86" s="62">
        <f>IF(ISNA(VLOOKUP($A86,'KL handicap'!$C$2:$C$37,1,FALSE)),0,VLOOKUP($A86,'KL handicap'!$C$2:$I$37,7,FALSE))</f>
        <v>0</v>
      </c>
      <c r="K86" s="62">
        <f>IF(ISNA(VLOOKUP($A86,'3000m handicap'!$C$2:$C$47,1,FALSE)),0,VLOOKUP($A86,'3000m handicap'!$C$2:$K$47,9,FALSE))</f>
        <v>0</v>
      </c>
      <c r="L86" s="62">
        <f>IF(ISNA(VLOOKUP($A86,'10 km'!$B$2:$B$50,1,FALSE)),0,VLOOKUP($A86,'10 km'!$B$2:$D$50,3,FALSE))</f>
        <v>0</v>
      </c>
      <c r="M86" s="62">
        <f>IF(ISNA(VLOOKUP($A86,'Peter Moor 2000m'!$C$2:$C$30,1,FALSE)),0,VLOOKUP($A86,'Peter Moor 2000m'!$C$2:$I$30,7,FALSE))</f>
        <v>0</v>
      </c>
      <c r="N86" s="62">
        <f>IF(ISNA(VLOOKUP($A86,'Max Howard Tan handicap'!$C$2:$C$23,1,FALSE)),0,VLOOKUP($A86,'Max Howard Tan handicap'!$C$2:$I$23,7,FALSE))</f>
        <v>0</v>
      </c>
      <c r="O86" s="88">
        <f>IF(ISNA(VLOOKUP($A86,parkrun!$B$2:$H$145,1,FALSE)),0,VLOOKUP($A86,parkrun!$B$2:$H$145,7,FALSE))</f>
        <v>35.42</v>
      </c>
      <c r="P86" s="133">
        <f>SUM(F86:O86)</f>
        <v>98.58</v>
      </c>
      <c r="Q86" s="134">
        <f>COUNTIF(F86:O86,"&gt;0")</f>
        <v>2</v>
      </c>
      <c r="R86" s="215">
        <f>SMALL(F86:O86,1)+SMALL(F86:O86,2)</f>
        <v>0</v>
      </c>
      <c r="S86" s="215">
        <f>IF(Q86=1,P86,P86-R86)</f>
        <v>98.58</v>
      </c>
      <c r="T86" s="216">
        <f>RANK(P86,$P$5:$P$230,0)</f>
        <v>82</v>
      </c>
      <c r="U86" s="26">
        <f>RANK(S86,$S$5:$S$230,0)</f>
        <v>82</v>
      </c>
      <c r="W86" s="113">
        <v>24862</v>
      </c>
      <c r="Y86" s="44"/>
      <c r="AD86" s="44"/>
    </row>
    <row r="87" spans="1:30" x14ac:dyDescent="0.2">
      <c r="A87" s="38" t="s">
        <v>343</v>
      </c>
      <c r="B87" s="81">
        <v>278</v>
      </c>
      <c r="C87" s="81" t="s">
        <v>233</v>
      </c>
      <c r="D87" s="146">
        <v>26152</v>
      </c>
      <c r="E87" s="81" t="s">
        <v>214</v>
      </c>
      <c r="F87" s="61">
        <f>IF(ISNA(VLOOKUP($A87,'2 Bridges Relay'!$F$2:$F$67,1,FALSE)),0,VLOOKUP($A87,'2 Bridges Relay'!$F$2:$J$67,5,FALSE))</f>
        <v>53.33</v>
      </c>
      <c r="G87" s="88">
        <f>IF(ISNA(VLOOKUP($A87,'5M''s'!$D$2:$E$27,1,FALSE)),0,VLOOKUP($A87,'5M''s'!$D$2:$E$27,2,FALSE))</f>
        <v>0</v>
      </c>
      <c r="H87" s="62">
        <f>IF(ISNA(VLOOKUP($A87,'Mile handicap'!$C$2:$C$51,1,FALSE)),0,VLOOKUP($A87,'Mile handicap'!$C$2:$K$51,9,FALSE))</f>
        <v>0</v>
      </c>
      <c r="I87" s="62">
        <f>IF(ISNA(VLOOKUP($A87,'5000m handicap'!$C$2:$C$46,1,FALSE)),0,VLOOKUP($A87,'5000m handicap'!$C$2:$K$46,9,FALSE))</f>
        <v>44.74</v>
      </c>
      <c r="J87" s="62">
        <f>IF(ISNA(VLOOKUP($A87,'KL handicap'!$C$2:$C$37,1,FALSE)),0,VLOOKUP($A87,'KL handicap'!$C$2:$I$37,7,FALSE))</f>
        <v>0</v>
      </c>
      <c r="K87" s="62">
        <f>IF(ISNA(VLOOKUP($A87,'3000m handicap'!$C$2:$C$47,1,FALSE)),0,VLOOKUP($A87,'3000m handicap'!$C$2:$K$47,9,FALSE))</f>
        <v>0</v>
      </c>
      <c r="L87" s="62">
        <f>IF(ISNA(VLOOKUP($A87,'10 km'!$B$2:$B$50,1,FALSE)),0,VLOOKUP($A87,'10 km'!$B$2:$D$50,3,FALSE))</f>
        <v>0</v>
      </c>
      <c r="M87" s="62">
        <f>IF(ISNA(VLOOKUP($A87,'Peter Moor 2000m'!$C$2:$C$30,1,FALSE)),0,VLOOKUP($A87,'Peter Moor 2000m'!$C$2:$I$30,7,FALSE))</f>
        <v>0</v>
      </c>
      <c r="N87" s="62">
        <f>IF(ISNA(VLOOKUP($A87,'Max Howard Tan handicap'!$C$2:$C$23,1,FALSE)),0,VLOOKUP($A87,'Max Howard Tan handicap'!$C$2:$I$23,7,FALSE))</f>
        <v>0</v>
      </c>
      <c r="O87" s="88">
        <f>IF(ISNA(VLOOKUP($A87,parkrun!$B$2:$H$145,1,FALSE)),0,VLOOKUP($A87,parkrun!$B$2:$H$145,7,FALSE))</f>
        <v>0</v>
      </c>
      <c r="P87" s="133">
        <f>SUM(F87:O87)</f>
        <v>98.07</v>
      </c>
      <c r="Q87" s="134">
        <f>COUNTIF(F87:O87,"&gt;0")</f>
        <v>2</v>
      </c>
      <c r="R87" s="215">
        <f>SMALL(F87:O87,1)+SMALL(F87:O87,2)</f>
        <v>0</v>
      </c>
      <c r="S87" s="215">
        <f>IF(Q87=1,P87,P87-R87)</f>
        <v>98.07</v>
      </c>
      <c r="T87" s="216">
        <f>RANK(P87,$P$5:$P$230,0)</f>
        <v>83</v>
      </c>
      <c r="U87" s="26">
        <f>RANK(S87,$S$5:$S$230,0)</f>
        <v>83</v>
      </c>
      <c r="W87" s="113">
        <v>27744</v>
      </c>
      <c r="Y87" s="44"/>
      <c r="AD87" s="44"/>
    </row>
    <row r="88" spans="1:30" x14ac:dyDescent="0.2">
      <c r="A88" s="38" t="s">
        <v>142</v>
      </c>
      <c r="B88" s="81">
        <v>30</v>
      </c>
      <c r="C88" s="81" t="s">
        <v>233</v>
      </c>
      <c r="D88" s="146">
        <v>22423</v>
      </c>
      <c r="E88" s="81" t="s">
        <v>196</v>
      </c>
      <c r="F88" s="148">
        <f>IF(ISNA(VLOOKUP($A88,'2 Bridges Relay'!$F$2:$F$67,1,FALSE)),0,VLOOKUP($A88,'2 Bridges Relay'!$F$2:$J$67,5,FALSE))</f>
        <v>83.33</v>
      </c>
      <c r="G88" s="88">
        <f>IF(ISNA(VLOOKUP($A88,'5M''s'!$D$2:$E$27,1,FALSE)),0,VLOOKUP($A88,'5M''s'!$D$2:$E$27,2,FALSE))</f>
        <v>0</v>
      </c>
      <c r="H88" s="62">
        <f>IF(ISNA(VLOOKUP($A88,'Mile handicap'!$C$2:$C$51,1,FALSE)),0,VLOOKUP($A88,'Mile handicap'!$C$2:$K$51,9,FALSE))</f>
        <v>7.32</v>
      </c>
      <c r="I88" s="62">
        <f>IF(ISNA(VLOOKUP($A88,'5000m handicap'!$C$2:$C$46,1,FALSE)),0,VLOOKUP($A88,'5000m handicap'!$C$2:$K$46,9,FALSE))</f>
        <v>0</v>
      </c>
      <c r="J88" s="62">
        <f>IF(ISNA(VLOOKUP($A88,'KL handicap'!$C$2:$C$37,1,FALSE)),0,VLOOKUP($A88,'KL handicap'!$C$2:$I$37,7,FALSE))</f>
        <v>0</v>
      </c>
      <c r="K88" s="62">
        <f>IF(ISNA(VLOOKUP($A88,'3000m handicap'!$C$2:$C$47,1,FALSE)),0,VLOOKUP($A88,'3000m handicap'!$C$2:$K$47,9,FALSE))</f>
        <v>0</v>
      </c>
      <c r="L88" s="62">
        <f>IF(ISNA(VLOOKUP($A88,'10 km'!$B$2:$B$50,1,FALSE)),0,VLOOKUP($A88,'10 km'!$B$2:$D$50,3,FALSE))</f>
        <v>0</v>
      </c>
      <c r="M88" s="62">
        <f>IF(ISNA(VLOOKUP($A88,'Peter Moor 2000m'!$C$2:$C$30,1,FALSE)),0,VLOOKUP($A88,'Peter Moor 2000m'!$C$2:$I$30,7,FALSE))</f>
        <v>0</v>
      </c>
      <c r="N88" s="62">
        <f>IF(ISNA(VLOOKUP($A88,'Max Howard Tan handicap'!$C$2:$C$23,1,FALSE)),0,VLOOKUP($A88,'Max Howard Tan handicap'!$C$2:$I$23,7,FALSE))</f>
        <v>0</v>
      </c>
      <c r="O88" s="88">
        <f>IF(ISNA(VLOOKUP($A88,parkrun!$B$2:$H$145,1,FALSE)),0,VLOOKUP($A88,parkrun!$B$2:$H$145,7,FALSE))</f>
        <v>4.8600000000000003</v>
      </c>
      <c r="P88" s="133">
        <f>SUM(F88:O88)</f>
        <v>95.51</v>
      </c>
      <c r="Q88" s="134">
        <f>COUNTIF(F88:O88,"&gt;0")</f>
        <v>3</v>
      </c>
      <c r="R88" s="215">
        <f>SMALL(F88:O88,1)+SMALL(F88:O88,2)</f>
        <v>0</v>
      </c>
      <c r="S88" s="215">
        <f>IF(Q88=1,P88,P88-R88)</f>
        <v>95.51</v>
      </c>
      <c r="T88" s="216">
        <f>RANK(P88,$P$5:$P$230,0)</f>
        <v>84</v>
      </c>
      <c r="U88" s="26">
        <f>RANK(S88,$S$5:$S$230,0)</f>
        <v>84</v>
      </c>
      <c r="W88" s="113">
        <v>22118</v>
      </c>
      <c r="Y88" s="44"/>
      <c r="AD88" s="44"/>
    </row>
    <row r="89" spans="1:30" x14ac:dyDescent="0.2">
      <c r="A89" s="38" t="s">
        <v>164</v>
      </c>
      <c r="B89" s="81">
        <v>177</v>
      </c>
      <c r="C89" s="81" t="s">
        <v>233</v>
      </c>
      <c r="D89" s="146">
        <v>22118</v>
      </c>
      <c r="E89" s="81" t="s">
        <v>196</v>
      </c>
      <c r="F89" s="61">
        <f>IF(ISNA(VLOOKUP($A89,'2 Bridges Relay'!$F$2:$F$67,1,FALSE)),0,VLOOKUP($A89,'2 Bridges Relay'!$F$2:$J$67,5,FALSE))</f>
        <v>0</v>
      </c>
      <c r="G89" s="88">
        <f>IF(ISNA(VLOOKUP($A89,'5M''s'!$D$2:$E$27,1,FALSE)),0,VLOOKUP($A89,'5M''s'!$D$2:$E$27,2,FALSE))</f>
        <v>0</v>
      </c>
      <c r="H89" s="62">
        <f>IF(ISNA(VLOOKUP($A89,'Mile handicap'!$C$2:$C$51,1,FALSE)),0,VLOOKUP($A89,'Mile handicap'!$C$2:$K$51,9,FALSE))</f>
        <v>0</v>
      </c>
      <c r="I89" s="62">
        <f>IF(ISNA(VLOOKUP($A89,'5000m handicap'!$C$2:$C$46,1,FALSE)),0,VLOOKUP($A89,'5000m handicap'!$C$2:$K$46,9,FALSE))</f>
        <v>0</v>
      </c>
      <c r="J89" s="62">
        <f>IF(ISNA(VLOOKUP($A89,'KL handicap'!$C$2:$C$37,1,FALSE)),0,VLOOKUP($A89,'KL handicap'!$C$2:$I$37,7,FALSE))</f>
        <v>0</v>
      </c>
      <c r="K89" s="62">
        <f>IF(ISNA(VLOOKUP($A89,'3000m handicap'!$C$2:$C$47,1,FALSE)),0,VLOOKUP($A89,'3000m handicap'!$C$2:$K$47,9,FALSE))</f>
        <v>0</v>
      </c>
      <c r="L89" s="62">
        <f>IF(ISNA(VLOOKUP($A89,'10 km'!$B$2:$B$50,1,FALSE)),0,VLOOKUP($A89,'10 km'!$B$2:$D$50,3,FALSE))</f>
        <v>0</v>
      </c>
      <c r="M89" s="62">
        <f>IF(ISNA(VLOOKUP($A89,'Peter Moor 2000m'!$C$2:$C$30,1,FALSE)),0,VLOOKUP($A89,'Peter Moor 2000m'!$C$2:$I$30,7,FALSE))</f>
        <v>0</v>
      </c>
      <c r="N89" s="62">
        <f>IF(ISNA(VLOOKUP($A89,'Max Howard Tan handicap'!$C$2:$C$23,1,FALSE)),0,VLOOKUP($A89,'Max Howard Tan handicap'!$C$2:$I$23,7,FALSE))</f>
        <v>0</v>
      </c>
      <c r="O89" s="88">
        <f>IF(ISNA(VLOOKUP($A89,parkrun!$B$2:$H$145,1,FALSE)),0,VLOOKUP($A89,parkrun!$B$2:$H$145,7,FALSE))</f>
        <v>94.44</v>
      </c>
      <c r="P89" s="133">
        <f>SUM(F89:O89)</f>
        <v>94.44</v>
      </c>
      <c r="Q89" s="134">
        <f>COUNTIF(F89:O89,"&gt;0")</f>
        <v>1</v>
      </c>
      <c r="R89" s="215">
        <f>SMALL(F89:O89,1)+SMALL(F89:O89,2)</f>
        <v>0</v>
      </c>
      <c r="S89" s="215">
        <f>IF(Q89=1,P89,P89-R89)</f>
        <v>94.44</v>
      </c>
      <c r="T89" s="216">
        <f>RANK(P89,$P$5:$P$230,0)</f>
        <v>85</v>
      </c>
      <c r="U89" s="26">
        <f>RANK(S89,$S$5:$S$230,0)</f>
        <v>85</v>
      </c>
      <c r="W89" s="113">
        <v>24152</v>
      </c>
      <c r="Y89" s="44"/>
      <c r="AD89" s="44"/>
    </row>
    <row r="90" spans="1:30" x14ac:dyDescent="0.2">
      <c r="A90" s="38" t="s">
        <v>224</v>
      </c>
      <c r="B90" s="81">
        <v>228</v>
      </c>
      <c r="C90" s="81" t="s">
        <v>233</v>
      </c>
      <c r="D90" s="146">
        <v>29335</v>
      </c>
      <c r="E90" s="81" t="s">
        <v>214</v>
      </c>
      <c r="F90" s="61">
        <f>IF(ISNA(VLOOKUP($A90,'2 Bridges Relay'!$F$2:$F$67,1,FALSE)),0,VLOOKUP($A90,'2 Bridges Relay'!$F$2:$J$67,5,FALSE))</f>
        <v>93.33</v>
      </c>
      <c r="G90" s="88">
        <f>IF(ISNA(VLOOKUP($A90,'5M''s'!$D$2:$E$27,1,FALSE)),0,VLOOKUP($A90,'5M''s'!$D$2:$E$27,2,FALSE))</f>
        <v>0</v>
      </c>
      <c r="H90" s="62">
        <f>IF(ISNA(VLOOKUP($A90,'Mile handicap'!$C$2:$C$51,1,FALSE)),0,VLOOKUP($A90,'Mile handicap'!$C$2:$K$51,9,FALSE))</f>
        <v>0</v>
      </c>
      <c r="I90" s="62">
        <f>IF(ISNA(VLOOKUP($A90,'5000m handicap'!$C$2:$C$46,1,FALSE)),0,VLOOKUP($A90,'5000m handicap'!$C$2:$K$46,9,FALSE))</f>
        <v>0</v>
      </c>
      <c r="J90" s="62">
        <f>IF(ISNA(VLOOKUP($A90,'KL handicap'!$C$2:$C$37,1,FALSE)),0,VLOOKUP($A90,'KL handicap'!$C$2:$I$37,7,FALSE))</f>
        <v>0</v>
      </c>
      <c r="K90" s="62">
        <f>IF(ISNA(VLOOKUP($A90,'3000m handicap'!$C$2:$C$47,1,FALSE)),0,VLOOKUP($A90,'3000m handicap'!$C$2:$K$47,9,FALSE))</f>
        <v>0</v>
      </c>
      <c r="L90" s="62">
        <f>IF(ISNA(VLOOKUP($A90,'10 km'!$B$2:$B$50,1,FALSE)),0,VLOOKUP($A90,'10 km'!$B$2:$D$50,3,FALSE))</f>
        <v>0</v>
      </c>
      <c r="M90" s="62">
        <f>IF(ISNA(VLOOKUP($A90,'Peter Moor 2000m'!$C$2:$C$30,1,FALSE)),0,VLOOKUP($A90,'Peter Moor 2000m'!$C$2:$I$30,7,FALSE))</f>
        <v>0</v>
      </c>
      <c r="N90" s="62">
        <f>IF(ISNA(VLOOKUP($A90,'Max Howard Tan handicap'!$C$2:$C$23,1,FALSE)),0,VLOOKUP($A90,'Max Howard Tan handicap'!$C$2:$I$23,7,FALSE))</f>
        <v>0</v>
      </c>
      <c r="O90" s="88">
        <f>IF(ISNA(VLOOKUP($A90,parkrun!$B$2:$H$145,1,FALSE)),0,VLOOKUP($A90,parkrun!$B$2:$H$145,7,FALSE))</f>
        <v>0</v>
      </c>
      <c r="P90" s="133">
        <f>SUM(F90:O90)</f>
        <v>93.33</v>
      </c>
      <c r="Q90" s="134">
        <f>COUNTIF(F90:O90,"&gt;0")</f>
        <v>1</v>
      </c>
      <c r="R90" s="215">
        <f>SMALL(F90:O90,1)+SMALL(F90:O90,2)</f>
        <v>0</v>
      </c>
      <c r="S90" s="215">
        <f>IF(Q90=1,P90,P90-R90)</f>
        <v>93.33</v>
      </c>
      <c r="T90" s="216">
        <f>RANK(P90,$P$5:$P$230,0)</f>
        <v>86</v>
      </c>
      <c r="U90" s="26">
        <f>RANK(S90,$S$5:$S$230,0)</f>
        <v>86</v>
      </c>
      <c r="W90" s="113">
        <v>27288</v>
      </c>
      <c r="Y90" s="44"/>
      <c r="AD90" s="44"/>
    </row>
    <row r="91" spans="1:30" x14ac:dyDescent="0.2">
      <c r="A91" s="38" t="s">
        <v>184</v>
      </c>
      <c r="B91" s="81">
        <v>59</v>
      </c>
      <c r="C91" s="81" t="s">
        <v>233</v>
      </c>
      <c r="D91" s="146">
        <v>22837</v>
      </c>
      <c r="E91" s="81" t="s">
        <v>196</v>
      </c>
      <c r="F91" s="61">
        <f>IF(ISNA(VLOOKUP($A91,'2 Bridges Relay'!$F$2:$F$67,1,FALSE)),0,VLOOKUP($A91,'2 Bridges Relay'!$F$2:$J$67,5,FALSE))</f>
        <v>0</v>
      </c>
      <c r="G91" s="88">
        <f>IF(ISNA(VLOOKUP($A91,'5M''s'!$D$2:$E$27,1,FALSE)),0,VLOOKUP($A91,'5M''s'!$D$2:$E$27,2,FALSE))</f>
        <v>0</v>
      </c>
      <c r="H91" s="62">
        <f>IF(ISNA(VLOOKUP($A91,'Mile handicap'!$C$2:$C$51,1,FALSE)),0,VLOOKUP($A91,'Mile handicap'!$C$2:$K$51,9,FALSE))</f>
        <v>0</v>
      </c>
      <c r="I91" s="62">
        <f>IF(ISNA(VLOOKUP($A91,'5000m handicap'!$C$2:$C$46,1,FALSE)),0,VLOOKUP($A91,'5000m handicap'!$C$2:$K$46,9,FALSE))</f>
        <v>0</v>
      </c>
      <c r="J91" s="62">
        <f>IF(ISNA(VLOOKUP($A91,'KL handicap'!$C$2:$C$37,1,FALSE)),0,VLOOKUP($A91,'KL handicap'!$C$2:$I$37,7,FALSE))</f>
        <v>0</v>
      </c>
      <c r="K91" s="62">
        <f>IF(ISNA(VLOOKUP($A91,'3000m handicap'!$C$2:$C$47,1,FALSE)),0,VLOOKUP($A91,'3000m handicap'!$C$2:$K$47,9,FALSE))</f>
        <v>0</v>
      </c>
      <c r="L91" s="62">
        <f>IF(ISNA(VLOOKUP($A91,'10 km'!$B$2:$B$50,1,FALSE)),0,VLOOKUP($A91,'10 km'!$B$2:$D$50,3,FALSE))</f>
        <v>0</v>
      </c>
      <c r="M91" s="62">
        <f>IF(ISNA(VLOOKUP($A91,'Peter Moor 2000m'!$C$2:$C$30,1,FALSE)),0,VLOOKUP($A91,'Peter Moor 2000m'!$C$2:$I$30,7,FALSE))</f>
        <v>13.64</v>
      </c>
      <c r="N91" s="62">
        <f>IF(ISNA(VLOOKUP($A91,'Max Howard Tan handicap'!$C$2:$C$23,1,FALSE)),0,VLOOKUP($A91,'Max Howard Tan handicap'!$C$2:$I$23,7,FALSE))</f>
        <v>0</v>
      </c>
      <c r="O91" s="88">
        <f>IF(ISNA(VLOOKUP($A91,parkrun!$B$2:$H$145,1,FALSE)),0,VLOOKUP($A91,parkrun!$B$2:$H$145,7,FALSE))</f>
        <v>77.78</v>
      </c>
      <c r="P91" s="133">
        <f>SUM(F91:O91)</f>
        <v>91.42</v>
      </c>
      <c r="Q91" s="134">
        <f>COUNTIF(F91:O91,"&gt;0")</f>
        <v>2</v>
      </c>
      <c r="R91" s="215">
        <f>SMALL(F91:O91,1)+SMALL(F91:O91,2)</f>
        <v>0</v>
      </c>
      <c r="S91" s="215">
        <f>IF(Q91=1,P91,P91-R91)</f>
        <v>91.42</v>
      </c>
      <c r="T91" s="216">
        <f>RANK(P91,$P$5:$P$230,0)</f>
        <v>87</v>
      </c>
      <c r="U91" s="26">
        <f>RANK(S91,$S$5:$S$230,0)</f>
        <v>87</v>
      </c>
      <c r="W91" s="113">
        <v>30558</v>
      </c>
      <c r="Y91" s="44"/>
      <c r="AD91" s="44"/>
    </row>
    <row r="92" spans="1:30" x14ac:dyDescent="0.2">
      <c r="A92" s="38" t="s">
        <v>111</v>
      </c>
      <c r="B92" s="81">
        <v>137</v>
      </c>
      <c r="C92" s="81" t="s">
        <v>233</v>
      </c>
      <c r="D92" s="146">
        <v>30763</v>
      </c>
      <c r="E92" s="81" t="s">
        <v>214</v>
      </c>
      <c r="F92" s="61">
        <f>IF(ISNA(VLOOKUP($A92,'2 Bridges Relay'!$F$2:$F$67,1,FALSE)),0,VLOOKUP($A92,'2 Bridges Relay'!$F$2:$J$67,5,FALSE))</f>
        <v>0</v>
      </c>
      <c r="G92" s="88">
        <f>IF(ISNA(VLOOKUP($A92,'5M''s'!$D$2:$E$27,1,FALSE)),0,VLOOKUP($A92,'5M''s'!$D$2:$E$27,2,FALSE))</f>
        <v>0</v>
      </c>
      <c r="H92" s="62">
        <f>IF(ISNA(VLOOKUP($A92,'Mile handicap'!$C$2:$C$51,1,FALSE)),0,VLOOKUP($A92,'Mile handicap'!$C$2:$K$51,9,FALSE))</f>
        <v>0</v>
      </c>
      <c r="I92" s="62">
        <f>IF(ISNA(VLOOKUP($A92,'5000m handicap'!$C$2:$C$46,1,FALSE)),0,VLOOKUP($A92,'5000m handicap'!$C$2:$K$46,9,FALSE))</f>
        <v>0</v>
      </c>
      <c r="J92" s="62">
        <f>IF(ISNA(VLOOKUP($A92,'KL handicap'!$C$2:$C$37,1,FALSE)),0,VLOOKUP($A92,'KL handicap'!$C$2:$I$37,7,FALSE))</f>
        <v>0</v>
      </c>
      <c r="K92" s="62">
        <f>IF(ISNA(VLOOKUP($A92,'3000m handicap'!$C$2:$C$47,1,FALSE)),0,VLOOKUP($A92,'3000m handicap'!$C$2:$K$47,9,FALSE))</f>
        <v>0</v>
      </c>
      <c r="L92" s="62">
        <f>IF(ISNA(VLOOKUP($A92,'10 km'!$B$2:$B$50,1,FALSE)),0,VLOOKUP($A92,'10 km'!$B$2:$D$50,3,FALSE))</f>
        <v>0</v>
      </c>
      <c r="M92" s="62">
        <f>IF(ISNA(VLOOKUP($A92,'Peter Moor 2000m'!$C$2:$C$30,1,FALSE)),0,VLOOKUP($A92,'Peter Moor 2000m'!$C$2:$I$30,7,FALSE))</f>
        <v>0</v>
      </c>
      <c r="N92" s="62">
        <f>IF(ISNA(VLOOKUP($A92,'Max Howard Tan handicap'!$C$2:$C$23,1,FALSE)),0,VLOOKUP($A92,'Max Howard Tan handicap'!$C$2:$I$23,7,FALSE))</f>
        <v>0</v>
      </c>
      <c r="O92" s="88">
        <f>IF(ISNA(VLOOKUP($A92,parkrun!$B$2:$H$145,1,FALSE)),0,VLOOKUP($A92,parkrun!$B$2:$H$145,7,FALSE))</f>
        <v>90.97</v>
      </c>
      <c r="P92" s="133">
        <f>SUM(F92:O92)</f>
        <v>90.97</v>
      </c>
      <c r="Q92" s="134">
        <f>COUNTIF(F92:O92,"&gt;0")</f>
        <v>1</v>
      </c>
      <c r="R92" s="215">
        <f>SMALL(F92:O92,1)+SMALL(F92:O92,2)</f>
        <v>0</v>
      </c>
      <c r="S92" s="215">
        <f>IF(Q92=1,P92,P92-R92)</f>
        <v>90.97</v>
      </c>
      <c r="T92" s="216">
        <f>RANK(P92,$P$5:$P$230,0)</f>
        <v>88</v>
      </c>
      <c r="U92" s="26">
        <f>RANK(S92,$S$5:$S$230,0)</f>
        <v>88</v>
      </c>
      <c r="W92" s="113">
        <v>22905</v>
      </c>
      <c r="Y92" s="44"/>
      <c r="AD92" s="44"/>
    </row>
    <row r="93" spans="1:30" x14ac:dyDescent="0.2">
      <c r="A93" s="38" t="s">
        <v>143</v>
      </c>
      <c r="B93" s="81">
        <v>100</v>
      </c>
      <c r="C93" s="81" t="s">
        <v>233</v>
      </c>
      <c r="D93" s="146">
        <v>29058</v>
      </c>
      <c r="E93" s="81" t="s">
        <v>214</v>
      </c>
      <c r="F93" s="61">
        <f>IF(ISNA(VLOOKUP($A93,'2 Bridges Relay'!$F$2:$F$67,1,FALSE)),0,VLOOKUP($A93,'2 Bridges Relay'!$F$2:$J$67,5,FALSE))</f>
        <v>0</v>
      </c>
      <c r="G93" s="88">
        <f>IF(ISNA(VLOOKUP($A93,'5M''s'!$D$2:$E$27,1,FALSE)),0,VLOOKUP($A93,'5M''s'!$D$2:$E$27,2,FALSE))</f>
        <v>0</v>
      </c>
      <c r="H93" s="62">
        <f>IF(ISNA(VLOOKUP($A93,'Mile handicap'!$C$2:$C$51,1,FALSE)),0,VLOOKUP($A93,'Mile handicap'!$C$2:$K$51,9,FALSE))</f>
        <v>0</v>
      </c>
      <c r="I93" s="62">
        <f>IF(ISNA(VLOOKUP($A93,'5000m handicap'!$C$2:$C$46,1,FALSE)),0,VLOOKUP($A93,'5000m handicap'!$C$2:$K$46,9,FALSE))</f>
        <v>0</v>
      </c>
      <c r="J93" s="62">
        <f>IF(ISNA(VLOOKUP($A93,'KL handicap'!$C$2:$C$37,1,FALSE)),0,VLOOKUP($A93,'KL handicap'!$C$2:$I$37,7,FALSE))</f>
        <v>0</v>
      </c>
      <c r="K93" s="62">
        <f>IF(ISNA(VLOOKUP($A93,'3000m handicap'!$C$2:$C$47,1,FALSE)),0,VLOOKUP($A93,'3000m handicap'!$C$2:$K$47,9,FALSE))</f>
        <v>0</v>
      </c>
      <c r="L93" s="62">
        <f>IF(ISNA(VLOOKUP($A93,'10 km'!$B$2:$B$50,1,FALSE)),0,VLOOKUP($A93,'10 km'!$B$2:$D$50,3,FALSE))</f>
        <v>89.8</v>
      </c>
      <c r="M93" s="62">
        <f>IF(ISNA(VLOOKUP($A93,'Peter Moor 2000m'!$C$2:$C$30,1,FALSE)),0,VLOOKUP($A93,'Peter Moor 2000m'!$C$2:$I$30,7,FALSE))</f>
        <v>0</v>
      </c>
      <c r="N93" s="62">
        <f>IF(ISNA(VLOOKUP($A93,'Max Howard Tan handicap'!$C$2:$C$23,1,FALSE)),0,VLOOKUP($A93,'Max Howard Tan handicap'!$C$2:$I$23,7,FALSE))</f>
        <v>0</v>
      </c>
      <c r="O93" s="88">
        <f>IF(ISNA(VLOOKUP($A93,parkrun!$B$2:$H$145,1,FALSE)),0,VLOOKUP($A93,parkrun!$B$2:$H$145,7,FALSE))</f>
        <v>0</v>
      </c>
      <c r="P93" s="133">
        <f>SUM(F93:O93)</f>
        <v>89.8</v>
      </c>
      <c r="Q93" s="134">
        <f>COUNTIF(F93:O93,"&gt;0")</f>
        <v>1</v>
      </c>
      <c r="R93" s="215">
        <f>SMALL(F93:O93,1)+SMALL(F93:O93,2)</f>
        <v>0</v>
      </c>
      <c r="S93" s="215">
        <f>IF(Q93=1,P93,P93-R93)</f>
        <v>89.8</v>
      </c>
      <c r="T93" s="216">
        <f>RANK(P93,$P$5:$P$230,0)</f>
        <v>89</v>
      </c>
      <c r="U93" s="26">
        <f>RANK(S93,$S$5:$S$230,0)</f>
        <v>89</v>
      </c>
      <c r="W93" s="113">
        <v>24589</v>
      </c>
      <c r="Y93" s="44"/>
      <c r="AD93" s="44"/>
    </row>
    <row r="94" spans="1:30" x14ac:dyDescent="0.2">
      <c r="A94" s="38" t="s">
        <v>163</v>
      </c>
      <c r="B94" s="81">
        <v>176</v>
      </c>
      <c r="C94" s="81" t="s">
        <v>233</v>
      </c>
      <c r="D94" s="146">
        <v>27467</v>
      </c>
      <c r="E94" s="81" t="s">
        <v>214</v>
      </c>
      <c r="F94" s="61">
        <f>IF(ISNA(VLOOKUP($A94,'2 Bridges Relay'!$F$2:$F$67,1,FALSE)),0,VLOOKUP($A94,'2 Bridges Relay'!$F$2:$J$67,5,FALSE))</f>
        <v>0</v>
      </c>
      <c r="G94" s="88">
        <f>IF(ISNA(VLOOKUP($A94,'5M''s'!$D$2:$E$27,1,FALSE)),0,VLOOKUP($A94,'5M''s'!$D$2:$E$27,2,FALSE))</f>
        <v>0</v>
      </c>
      <c r="H94" s="62">
        <f>IF(ISNA(VLOOKUP($A94,'Mile handicap'!$C$2:$C$51,1,FALSE)),0,VLOOKUP($A94,'Mile handicap'!$C$2:$K$51,9,FALSE))</f>
        <v>0</v>
      </c>
      <c r="I94" s="62">
        <f>IF(ISNA(VLOOKUP($A94,'5000m handicap'!$C$2:$C$46,1,FALSE)),0,VLOOKUP($A94,'5000m handicap'!$C$2:$K$46,9,FALSE))</f>
        <v>0</v>
      </c>
      <c r="J94" s="62">
        <f>IF(ISNA(VLOOKUP($A94,'KL handicap'!$C$2:$C$37,1,FALSE)),0,VLOOKUP($A94,'KL handicap'!$C$2:$I$37,7,FALSE))</f>
        <v>0</v>
      </c>
      <c r="K94" s="62">
        <f>IF(ISNA(VLOOKUP($A94,'3000m handicap'!$C$2:$C$47,1,FALSE)),0,VLOOKUP($A94,'3000m handicap'!$C$2:$K$47,9,FALSE))</f>
        <v>0</v>
      </c>
      <c r="L94" s="62">
        <f>IF(ISNA(VLOOKUP($A94,'10 km'!$B$2:$B$50,1,FALSE)),0,VLOOKUP($A94,'10 km'!$B$2:$D$50,3,FALSE))</f>
        <v>0</v>
      </c>
      <c r="M94" s="62">
        <f>IF(ISNA(VLOOKUP($A94,'Peter Moor 2000m'!$C$2:$C$30,1,FALSE)),0,VLOOKUP($A94,'Peter Moor 2000m'!$C$2:$I$30,7,FALSE))</f>
        <v>0</v>
      </c>
      <c r="N94" s="62">
        <f>IF(ISNA(VLOOKUP($A94,'Max Howard Tan handicap'!$C$2:$C$23,1,FALSE)),0,VLOOKUP($A94,'Max Howard Tan handicap'!$C$2:$I$23,7,FALSE))</f>
        <v>0</v>
      </c>
      <c r="O94" s="88">
        <f>IF(ISNA(VLOOKUP($A94,parkrun!$B$2:$H$145,1,FALSE)),0,VLOOKUP($A94,parkrun!$B$2:$H$145,7,FALSE))</f>
        <v>87.5</v>
      </c>
      <c r="P94" s="133">
        <f>SUM(F94:O94)</f>
        <v>87.5</v>
      </c>
      <c r="Q94" s="134">
        <f>COUNTIF(F94:O94,"&gt;0")</f>
        <v>1</v>
      </c>
      <c r="R94" s="215">
        <f>SMALL(F94:O94,1)+SMALL(F94:O94,2)</f>
        <v>0</v>
      </c>
      <c r="S94" s="215">
        <f>IF(Q94=1,P94,P94-R94)</f>
        <v>87.5</v>
      </c>
      <c r="T94" s="216">
        <f>RANK(P94,$P$5:$P$230,0)</f>
        <v>90</v>
      </c>
      <c r="U94" s="26">
        <f>RANK(S94,$S$5:$S$230,0)</f>
        <v>90</v>
      </c>
      <c r="W94" s="113">
        <v>26009</v>
      </c>
      <c r="Y94" s="44"/>
      <c r="AD94" s="44"/>
    </row>
    <row r="95" spans="1:30" x14ac:dyDescent="0.2">
      <c r="A95" s="38" t="s">
        <v>446</v>
      </c>
      <c r="B95" s="81">
        <v>321</v>
      </c>
      <c r="C95" s="81" t="s">
        <v>233</v>
      </c>
      <c r="D95" s="146">
        <v>24416</v>
      </c>
      <c r="E95" s="81" t="s">
        <v>196</v>
      </c>
      <c r="F95" s="61">
        <f>IF(ISNA(VLOOKUP($A95,'2 Bridges Relay'!$F$2:$F$67,1,FALSE)),0,VLOOKUP($A95,'2 Bridges Relay'!$F$2:$J$67,5,FALSE))</f>
        <v>0</v>
      </c>
      <c r="G95" s="88">
        <f>IF(ISNA(VLOOKUP($A95,'5M''s'!$D$2:$E$27,1,FALSE)),0,VLOOKUP($A95,'5M''s'!$D$2:$E$27,2,FALSE))</f>
        <v>0</v>
      </c>
      <c r="H95" s="62">
        <f>IF(ISNA(VLOOKUP($A95,'Mile handicap'!$C$2:$C$51,1,FALSE)),0,VLOOKUP($A95,'Mile handicap'!$C$2:$K$51,9,FALSE))</f>
        <v>0</v>
      </c>
      <c r="I95" s="62">
        <f>IF(ISNA(VLOOKUP($A95,'5000m handicap'!$C$2:$C$46,1,FALSE)),0,VLOOKUP($A95,'5000m handicap'!$C$2:$K$46,9,FALSE))</f>
        <v>0</v>
      </c>
      <c r="J95" s="62">
        <f>IF(ISNA(VLOOKUP($A95,'KL handicap'!$C$2:$C$37,1,FALSE)),0,VLOOKUP($A95,'KL handicap'!$C$2:$I$37,7,FALSE))</f>
        <v>0</v>
      </c>
      <c r="K95" s="62">
        <f>IF(ISNA(VLOOKUP($A95,'3000m handicap'!$C$2:$C$47,1,FALSE)),0,VLOOKUP($A95,'3000m handicap'!$C$2:$K$47,9,FALSE))</f>
        <v>0</v>
      </c>
      <c r="L95" s="62">
        <f>IF(ISNA(VLOOKUP($A95,'10 km'!$B$2:$B$50,1,FALSE)),0,VLOOKUP($A95,'10 km'!$B$2:$D$50,3,FALSE))</f>
        <v>0</v>
      </c>
      <c r="M95" s="62">
        <f>IF(ISNA(VLOOKUP($A95,'Peter Moor 2000m'!$C$2:$C$30,1,FALSE)),0,VLOOKUP($A95,'Peter Moor 2000m'!$C$2:$I$30,7,FALSE))</f>
        <v>0</v>
      </c>
      <c r="N95" s="62">
        <f>IF(ISNA(VLOOKUP($A95,'Max Howard Tan handicap'!$C$2:$C$23,1,FALSE)),0,VLOOKUP($A95,'Max Howard Tan handicap'!$C$2:$I$23,7,FALSE))</f>
        <v>0</v>
      </c>
      <c r="O95" s="88">
        <f>IF(ISNA(VLOOKUP($A95,parkrun!$B$2:$H$145,1,FALSE)),0,VLOOKUP($A95,parkrun!$B$2:$H$145,7,FALSE))</f>
        <v>85.42</v>
      </c>
      <c r="P95" s="133">
        <f>SUM(F95:O95)</f>
        <v>85.42</v>
      </c>
      <c r="Q95" s="134">
        <f>COUNTIF(F95:O95,"&gt;0")</f>
        <v>1</v>
      </c>
      <c r="R95" s="215">
        <f>SMALL(F95:O95,1)+SMALL(F95:O95,2)</f>
        <v>0</v>
      </c>
      <c r="S95" s="215">
        <f>IF(Q95=1,P95,P95-R95)</f>
        <v>85.42</v>
      </c>
      <c r="T95" s="216">
        <f>RANK(P95,$P$5:$P$230,0)</f>
        <v>91</v>
      </c>
      <c r="U95" s="26">
        <f>RANK(S95,$S$5:$S$230,0)</f>
        <v>91</v>
      </c>
      <c r="W95" s="113">
        <v>31157</v>
      </c>
      <c r="Y95" s="44"/>
      <c r="AD95" s="44"/>
    </row>
    <row r="96" spans="1:30" x14ac:dyDescent="0.2">
      <c r="A96" s="38" t="s">
        <v>361</v>
      </c>
      <c r="B96" s="81">
        <v>301</v>
      </c>
      <c r="C96" s="81" t="s">
        <v>233</v>
      </c>
      <c r="D96" s="146">
        <v>30760</v>
      </c>
      <c r="E96" s="81" t="s">
        <v>214</v>
      </c>
      <c r="F96" s="61">
        <f>IF(ISNA(VLOOKUP($A96,'2 Bridges Relay'!$F$2:$F$67,1,FALSE)),0,VLOOKUP($A96,'2 Bridges Relay'!$F$2:$J$67,5,FALSE))</f>
        <v>0</v>
      </c>
      <c r="G96" s="88">
        <f>IF(ISNA(VLOOKUP($A96,'5M''s'!$D$2:$E$27,1,FALSE)),0,VLOOKUP($A96,'5M''s'!$D$2:$E$27,2,FALSE))</f>
        <v>0</v>
      </c>
      <c r="H96" s="62">
        <f>IF(ISNA(VLOOKUP($A96,'Mile handicap'!$C$2:$C$51,1,FALSE)),0,VLOOKUP($A96,'Mile handicap'!$C$2:$K$51,9,FALSE))</f>
        <v>0</v>
      </c>
      <c r="I96" s="62">
        <f>IF(ISNA(VLOOKUP($A96,'5000m handicap'!$C$2:$C$46,1,FALSE)),0,VLOOKUP($A96,'5000m handicap'!$C$2:$K$46,9,FALSE))</f>
        <v>0</v>
      </c>
      <c r="J96" s="62">
        <f>IF(ISNA(VLOOKUP($A96,'KL handicap'!$C$2:$C$37,1,FALSE)),0,VLOOKUP($A96,'KL handicap'!$C$2:$I$37,7,FALSE))</f>
        <v>0</v>
      </c>
      <c r="K96" s="62">
        <f>IF(ISNA(VLOOKUP($A96,'3000m handicap'!$C$2:$C$47,1,FALSE)),0,VLOOKUP($A96,'3000m handicap'!$C$2:$K$47,9,FALSE))</f>
        <v>0</v>
      </c>
      <c r="L96" s="62">
        <f>IF(ISNA(VLOOKUP($A96,'10 km'!$B$2:$B$50,1,FALSE)),0,VLOOKUP($A96,'10 km'!$B$2:$D$50,3,FALSE))</f>
        <v>0</v>
      </c>
      <c r="M96" s="62">
        <f>IF(ISNA(VLOOKUP($A96,'Peter Moor 2000m'!$C$2:$C$30,1,FALSE)),0,VLOOKUP($A96,'Peter Moor 2000m'!$C$2:$I$30,7,FALSE))</f>
        <v>0</v>
      </c>
      <c r="N96" s="62">
        <f>IF(ISNA(VLOOKUP($A96,'Max Howard Tan handicap'!$C$2:$C$23,1,FALSE)),0,VLOOKUP($A96,'Max Howard Tan handicap'!$C$2:$I$23,7,FALSE))</f>
        <v>0</v>
      </c>
      <c r="O96" s="88">
        <f>IF(ISNA(VLOOKUP($A96,parkrun!$B$2:$H$145,1,FALSE)),0,VLOOKUP($A96,parkrun!$B$2:$H$145,7,FALSE))</f>
        <v>83.33</v>
      </c>
      <c r="P96" s="133">
        <f>SUM(F96:O96)</f>
        <v>83.33</v>
      </c>
      <c r="Q96" s="134">
        <f>COUNTIF(F96:O96,"&gt;0")</f>
        <v>1</v>
      </c>
      <c r="R96" s="215">
        <f>SMALL(F96:O96,1)+SMALL(F96:O96,2)</f>
        <v>0</v>
      </c>
      <c r="S96" s="215">
        <f>IF(Q96=1,P96,P96-R96)</f>
        <v>83.33</v>
      </c>
      <c r="T96" s="216">
        <f>RANK(P96,$P$5:$P$230,0)</f>
        <v>92</v>
      </c>
      <c r="U96" s="26">
        <f>RANK(S96,$S$5:$S$230,0)</f>
        <v>92</v>
      </c>
      <c r="W96" s="113">
        <v>29101</v>
      </c>
      <c r="Y96" s="44"/>
      <c r="AD96" s="44"/>
    </row>
    <row r="97" spans="1:30" x14ac:dyDescent="0.2">
      <c r="A97" s="38" t="s">
        <v>448</v>
      </c>
      <c r="B97" s="81">
        <v>79</v>
      </c>
      <c r="C97" s="81" t="s">
        <v>233</v>
      </c>
      <c r="D97" s="146">
        <v>28816</v>
      </c>
      <c r="E97" s="81" t="s">
        <v>214</v>
      </c>
      <c r="F97" s="61">
        <f>IF(ISNA(VLOOKUP($A97,'2 Bridges Relay'!$F$2:$F$67,1,FALSE)),0,VLOOKUP($A97,'2 Bridges Relay'!$F$2:$J$67,5,FALSE))</f>
        <v>0</v>
      </c>
      <c r="G97" s="88">
        <f>IF(ISNA(VLOOKUP($A97,'5M''s'!$D$2:$E$27,1,FALSE)),0,VLOOKUP($A97,'5M''s'!$D$2:$E$27,2,FALSE))</f>
        <v>0</v>
      </c>
      <c r="H97" s="62">
        <f>IF(ISNA(VLOOKUP($A97,'Mile handicap'!$C$2:$C$51,1,FALSE)),0,VLOOKUP($A97,'Mile handicap'!$C$2:$K$51,9,FALSE))</f>
        <v>0</v>
      </c>
      <c r="I97" s="62">
        <f>IF(ISNA(VLOOKUP($A97,'5000m handicap'!$C$2:$C$46,1,FALSE)),0,VLOOKUP($A97,'5000m handicap'!$C$2:$K$46,9,FALSE))</f>
        <v>0</v>
      </c>
      <c r="J97" s="62">
        <f>IF(ISNA(VLOOKUP($A97,'KL handicap'!$C$2:$C$37,1,FALSE)),0,VLOOKUP($A97,'KL handicap'!$C$2:$I$37,7,FALSE))</f>
        <v>0</v>
      </c>
      <c r="K97" s="62">
        <f>IF(ISNA(VLOOKUP($A97,'3000m handicap'!$C$2:$C$47,1,FALSE)),0,VLOOKUP($A97,'3000m handicap'!$C$2:$K$47,9,FALSE))</f>
        <v>0</v>
      </c>
      <c r="L97" s="62">
        <f>IF(ISNA(VLOOKUP($A97,'10 km'!$B$2:$B$50,1,FALSE)),0,VLOOKUP($A97,'10 km'!$B$2:$D$50,3,FALSE))</f>
        <v>81.63</v>
      </c>
      <c r="M97" s="62">
        <f>IF(ISNA(VLOOKUP($A97,'Peter Moor 2000m'!$C$2:$C$30,1,FALSE)),0,VLOOKUP($A97,'Peter Moor 2000m'!$C$2:$I$30,7,FALSE))</f>
        <v>0</v>
      </c>
      <c r="N97" s="62">
        <f>IF(ISNA(VLOOKUP($A97,'Max Howard Tan handicap'!$C$2:$C$23,1,FALSE)),0,VLOOKUP($A97,'Max Howard Tan handicap'!$C$2:$I$23,7,FALSE))</f>
        <v>0</v>
      </c>
      <c r="O97" s="88">
        <f>IF(ISNA(VLOOKUP($A97,parkrun!$B$2:$H$145,1,FALSE)),0,VLOOKUP($A97,parkrun!$B$2:$H$145,7,FALSE))</f>
        <v>0</v>
      </c>
      <c r="P97" s="133">
        <f>SUM(F97:O97)</f>
        <v>81.63</v>
      </c>
      <c r="Q97" s="134">
        <f>COUNTIF(F97:O97,"&gt;0")</f>
        <v>1</v>
      </c>
      <c r="R97" s="215">
        <f>SMALL(F97:O97,1)+SMALL(F97:O97,2)</f>
        <v>0</v>
      </c>
      <c r="S97" s="215">
        <f>IF(Q97=1,P97,P97-R97)</f>
        <v>81.63</v>
      </c>
      <c r="T97" s="216">
        <f>RANK(P97,$P$5:$P$230,0)</f>
        <v>93</v>
      </c>
      <c r="U97" s="26">
        <f>RANK(S97,$S$5:$S$230,0)</f>
        <v>93</v>
      </c>
      <c r="W97" s="113">
        <v>22057</v>
      </c>
      <c r="Y97" s="44"/>
      <c r="AD97" s="44"/>
    </row>
    <row r="98" spans="1:30" x14ac:dyDescent="0.2">
      <c r="A98" s="38" t="s">
        <v>157</v>
      </c>
      <c r="B98" s="81">
        <v>170</v>
      </c>
      <c r="C98" s="81" t="s">
        <v>233</v>
      </c>
      <c r="D98" s="146">
        <v>32385</v>
      </c>
      <c r="E98" s="81" t="s">
        <v>214</v>
      </c>
      <c r="F98" s="61">
        <f>IF(ISNA(VLOOKUP($A98,'2 Bridges Relay'!$F$2:$F$67,1,FALSE)),0,VLOOKUP($A98,'2 Bridges Relay'!$F$2:$J$67,5,FALSE))</f>
        <v>0</v>
      </c>
      <c r="G98" s="88">
        <f>IF(ISNA(VLOOKUP($A98,'5M''s'!$D$2:$E$27,1,FALSE)),0,VLOOKUP($A98,'5M''s'!$D$2:$E$27,2,FALSE))</f>
        <v>0</v>
      </c>
      <c r="H98" s="62">
        <f>IF(ISNA(VLOOKUP($A98,'Mile handicap'!$C$2:$C$51,1,FALSE)),0,VLOOKUP($A98,'Mile handicap'!$C$2:$K$51,9,FALSE))</f>
        <v>0</v>
      </c>
      <c r="I98" s="62">
        <f>IF(ISNA(VLOOKUP($A98,'5000m handicap'!$C$2:$C$46,1,FALSE)),0,VLOOKUP($A98,'5000m handicap'!$C$2:$K$46,9,FALSE))</f>
        <v>0</v>
      </c>
      <c r="J98" s="62">
        <f>IF(ISNA(VLOOKUP($A98,'KL handicap'!$C$2:$C$37,1,FALSE)),0,VLOOKUP($A98,'KL handicap'!$C$2:$I$37,7,FALSE))</f>
        <v>0</v>
      </c>
      <c r="K98" s="62">
        <f>IF(ISNA(VLOOKUP($A98,'3000m handicap'!$C$2:$C$47,1,FALSE)),0,VLOOKUP($A98,'3000m handicap'!$C$2:$K$47,9,FALSE))</f>
        <v>0</v>
      </c>
      <c r="L98" s="62">
        <f>IF(ISNA(VLOOKUP($A98,'10 km'!$B$2:$B$50,1,FALSE)),0,VLOOKUP($A98,'10 km'!$B$2:$D$50,3,FALSE))</f>
        <v>0</v>
      </c>
      <c r="M98" s="62">
        <f>IF(ISNA(VLOOKUP($A98,'Peter Moor 2000m'!$C$2:$C$30,1,FALSE)),0,VLOOKUP($A98,'Peter Moor 2000m'!$C$2:$I$30,7,FALSE))</f>
        <v>0</v>
      </c>
      <c r="N98" s="62">
        <f>IF(ISNA(VLOOKUP($A98,'Max Howard Tan handicap'!$C$2:$C$23,1,FALSE)),0,VLOOKUP($A98,'Max Howard Tan handicap'!$C$2:$I$23,7,FALSE))</f>
        <v>0</v>
      </c>
      <c r="O98" s="88">
        <f>IF(ISNA(VLOOKUP($A98,parkrun!$B$2:$H$145,1,FALSE)),0,VLOOKUP($A98,parkrun!$B$2:$H$145,7,FALSE))</f>
        <v>81.25</v>
      </c>
      <c r="P98" s="133">
        <f>SUM(F98:O98)</f>
        <v>81.25</v>
      </c>
      <c r="Q98" s="134">
        <f>COUNTIF(F98:O98,"&gt;0")</f>
        <v>1</v>
      </c>
      <c r="R98" s="215">
        <f>SMALL(F98:O98,1)+SMALL(F98:O98,2)</f>
        <v>0</v>
      </c>
      <c r="S98" s="215">
        <f>IF(Q98=1,P98,P98-R98)</f>
        <v>81.25</v>
      </c>
      <c r="T98" s="216">
        <f>RANK(P98,$P$5:$P$230,0)</f>
        <v>94</v>
      </c>
      <c r="U98" s="26">
        <f>RANK(S98,$S$5:$S$230,0)</f>
        <v>94</v>
      </c>
      <c r="W98" s="113">
        <v>19062</v>
      </c>
      <c r="Y98" s="44"/>
      <c r="AD98" s="44"/>
    </row>
    <row r="99" spans="1:30" x14ac:dyDescent="0.2">
      <c r="A99" s="38" t="s">
        <v>62</v>
      </c>
      <c r="B99" s="81">
        <v>47</v>
      </c>
      <c r="C99" s="81" t="s">
        <v>233</v>
      </c>
      <c r="D99" s="146">
        <v>21942</v>
      </c>
      <c r="E99" s="81" t="s">
        <v>196</v>
      </c>
      <c r="F99" s="61">
        <f>IF(ISNA(VLOOKUP($A99,'2 Bridges Relay'!$F$2:$F$67,1,FALSE)),0,VLOOKUP($A99,'2 Bridges Relay'!$F$2:$J$67,5,FALSE))</f>
        <v>0</v>
      </c>
      <c r="G99" s="88">
        <f>IF(ISNA(VLOOKUP($A99,'5M''s'!$D$2:$E$27,1,FALSE)),0,VLOOKUP($A99,'5M''s'!$D$2:$E$27,2,FALSE))</f>
        <v>0</v>
      </c>
      <c r="H99" s="62">
        <f>IF(ISNA(VLOOKUP($A99,'Mile handicap'!$C$2:$C$51,1,FALSE)),0,VLOOKUP($A99,'Mile handicap'!$C$2:$K$51,9,FALSE))</f>
        <v>0</v>
      </c>
      <c r="I99" s="62">
        <f>IF(ISNA(VLOOKUP($A99,'5000m handicap'!$C$2:$C$46,1,FALSE)),0,VLOOKUP($A99,'5000m handicap'!$C$2:$K$46,9,FALSE))</f>
        <v>0</v>
      </c>
      <c r="J99" s="62">
        <f>IF(ISNA(VLOOKUP($A99,'KL handicap'!$C$2:$C$37,1,FALSE)),0,VLOOKUP($A99,'KL handicap'!$C$2:$I$37,7,FALSE))</f>
        <v>0</v>
      </c>
      <c r="K99" s="62">
        <f>IF(ISNA(VLOOKUP($A99,'3000m handicap'!$C$2:$C$47,1,FALSE)),0,VLOOKUP($A99,'3000m handicap'!$C$2:$K$47,9,FALSE))</f>
        <v>0</v>
      </c>
      <c r="L99" s="62">
        <f>IF(ISNA(VLOOKUP($A99,'10 km'!$B$2:$B$50,1,FALSE)),0,VLOOKUP($A99,'10 km'!$B$2:$D$50,3,FALSE))</f>
        <v>0</v>
      </c>
      <c r="M99" s="62">
        <f>IF(ISNA(VLOOKUP($A99,'Peter Moor 2000m'!$C$2:$C$30,1,FALSE)),0,VLOOKUP($A99,'Peter Moor 2000m'!$C$2:$I$30,7,FALSE))</f>
        <v>0</v>
      </c>
      <c r="N99" s="62">
        <f>IF(ISNA(VLOOKUP($A99,'Max Howard Tan handicap'!$C$2:$C$23,1,FALSE)),0,VLOOKUP($A99,'Max Howard Tan handicap'!$C$2:$I$23,7,FALSE))</f>
        <v>0</v>
      </c>
      <c r="O99" s="88">
        <f>IF(ISNA(VLOOKUP($A99,parkrun!$B$2:$H$145,1,FALSE)),0,VLOOKUP($A99,parkrun!$B$2:$H$145,7,FALSE))</f>
        <v>75.69</v>
      </c>
      <c r="P99" s="133">
        <f>SUM(F99:O99)</f>
        <v>75.69</v>
      </c>
      <c r="Q99" s="134">
        <f>COUNTIF(F99:O99,"&gt;0")</f>
        <v>1</v>
      </c>
      <c r="R99" s="215">
        <f>SMALL(F99:O99,1)+SMALL(F99:O99,2)</f>
        <v>0</v>
      </c>
      <c r="S99" s="215">
        <f>IF(Q99=1,P99,P99-R99)</f>
        <v>75.69</v>
      </c>
      <c r="T99" s="216">
        <f>RANK(P99,$P$5:$P$230,0)</f>
        <v>95</v>
      </c>
      <c r="U99" s="26">
        <f>RANK(S99,$S$5:$S$230,0)</f>
        <v>95</v>
      </c>
      <c r="W99" s="113">
        <v>28398</v>
      </c>
      <c r="Y99" s="44"/>
      <c r="AD99" s="44"/>
    </row>
    <row r="100" spans="1:30" x14ac:dyDescent="0.2">
      <c r="A100" s="38" t="s">
        <v>299</v>
      </c>
      <c r="B100" s="81">
        <v>271</v>
      </c>
      <c r="C100" s="81" t="s">
        <v>233</v>
      </c>
      <c r="D100" s="146">
        <v>27446</v>
      </c>
      <c r="E100" s="81" t="s">
        <v>214</v>
      </c>
      <c r="F100" s="61">
        <f>IF(ISNA(VLOOKUP($A100,'2 Bridges Relay'!$F$2:$F$67,1,FALSE)),0,VLOOKUP($A100,'2 Bridges Relay'!$F$2:$J$67,5,FALSE))</f>
        <v>0</v>
      </c>
      <c r="G100" s="88">
        <f>IF(ISNA(VLOOKUP($A100,'5M''s'!$D$2:$E$27,1,FALSE)),0,VLOOKUP($A100,'5M''s'!$D$2:$E$27,2,FALSE))</f>
        <v>0</v>
      </c>
      <c r="H100" s="62">
        <f>IF(ISNA(VLOOKUP($A100,'Mile handicap'!$C$2:$C$51,1,FALSE)),0,VLOOKUP($A100,'Mile handicap'!$C$2:$K$51,9,FALSE))</f>
        <v>75.61</v>
      </c>
      <c r="I100" s="62">
        <f>IF(ISNA(VLOOKUP($A100,'5000m handicap'!$C$2:$C$46,1,FALSE)),0,VLOOKUP($A100,'5000m handicap'!$C$2:$K$46,9,FALSE))</f>
        <v>0</v>
      </c>
      <c r="J100" s="62">
        <f>IF(ISNA(VLOOKUP($A100,'KL handicap'!$C$2:$C$37,1,FALSE)),0,VLOOKUP($A100,'KL handicap'!$C$2:$I$37,7,FALSE))</f>
        <v>0</v>
      </c>
      <c r="K100" s="62">
        <f>IF(ISNA(VLOOKUP($A100,'3000m handicap'!$C$2:$C$47,1,FALSE)),0,VLOOKUP($A100,'3000m handicap'!$C$2:$K$47,9,FALSE))</f>
        <v>0</v>
      </c>
      <c r="L100" s="62">
        <f>IF(ISNA(VLOOKUP($A100,'10 km'!$B$2:$B$50,1,FALSE)),0,VLOOKUP($A100,'10 km'!$B$2:$D$50,3,FALSE))</f>
        <v>0</v>
      </c>
      <c r="M100" s="62">
        <f>IF(ISNA(VLOOKUP($A100,'Peter Moor 2000m'!$C$2:$C$30,1,FALSE)),0,VLOOKUP($A100,'Peter Moor 2000m'!$C$2:$I$30,7,FALSE))</f>
        <v>0</v>
      </c>
      <c r="N100" s="62">
        <f>IF(ISNA(VLOOKUP($A100,'Max Howard Tan handicap'!$C$2:$C$23,1,FALSE)),0,VLOOKUP($A100,'Max Howard Tan handicap'!$C$2:$I$23,7,FALSE))</f>
        <v>0</v>
      </c>
      <c r="O100" s="88">
        <f>IF(ISNA(VLOOKUP($A100,parkrun!$B$2:$H$145,1,FALSE)),0,VLOOKUP($A100,parkrun!$B$2:$H$145,7,FALSE))</f>
        <v>0</v>
      </c>
      <c r="P100" s="133">
        <f>SUM(F100:O100)</f>
        <v>75.61</v>
      </c>
      <c r="Q100" s="134">
        <f>COUNTIF(F100:O100,"&gt;0")</f>
        <v>1</v>
      </c>
      <c r="R100" s="215">
        <f>SMALL(F100:O100,1)+SMALL(F100:O100,2)</f>
        <v>0</v>
      </c>
      <c r="S100" s="215">
        <f>IF(Q100=1,P100,P100-R100)</f>
        <v>75.61</v>
      </c>
      <c r="T100" s="216">
        <f>RANK(P100,$P$5:$P$230,0)</f>
        <v>96</v>
      </c>
      <c r="U100" s="26">
        <f>RANK(S100,$S$5:$S$230,0)</f>
        <v>96</v>
      </c>
      <c r="W100" s="113">
        <v>19372</v>
      </c>
      <c r="Y100" s="44"/>
      <c r="AD100" s="44"/>
    </row>
    <row r="101" spans="1:30" x14ac:dyDescent="0.2">
      <c r="A101" s="38" t="s">
        <v>112</v>
      </c>
      <c r="B101" s="81">
        <v>136</v>
      </c>
      <c r="C101" s="81" t="s">
        <v>233</v>
      </c>
      <c r="D101" s="146">
        <v>29137</v>
      </c>
      <c r="E101" s="81" t="s">
        <v>214</v>
      </c>
      <c r="F101" s="61">
        <f>IF(ISNA(VLOOKUP($A101,'2 Bridges Relay'!$F$2:$F$67,1,FALSE)),0,VLOOKUP($A101,'2 Bridges Relay'!$F$2:$J$67,5,FALSE))</f>
        <v>0</v>
      </c>
      <c r="G101" s="88">
        <f>IF(ISNA(VLOOKUP($A101,'5M''s'!$D$2:$E$27,1,FALSE)),0,VLOOKUP($A101,'5M''s'!$D$2:$E$27,2,FALSE))</f>
        <v>0</v>
      </c>
      <c r="H101" s="62">
        <f>IF(ISNA(VLOOKUP($A101,'Mile handicap'!$C$2:$C$51,1,FALSE)),0,VLOOKUP($A101,'Mile handicap'!$C$2:$K$51,9,FALSE))</f>
        <v>0</v>
      </c>
      <c r="I101" s="62">
        <f>IF(ISNA(VLOOKUP($A101,'5000m handicap'!$C$2:$C$46,1,FALSE)),0,VLOOKUP($A101,'5000m handicap'!$C$2:$K$46,9,FALSE))</f>
        <v>0</v>
      </c>
      <c r="J101" s="62">
        <f>IF(ISNA(VLOOKUP($A101,'KL handicap'!$C$2:$C$37,1,FALSE)),0,VLOOKUP($A101,'KL handicap'!$C$2:$I$37,7,FALSE))</f>
        <v>0</v>
      </c>
      <c r="K101" s="62">
        <f>IF(ISNA(VLOOKUP($A101,'3000m handicap'!$C$2:$C$47,1,FALSE)),0,VLOOKUP($A101,'3000m handicap'!$C$2:$K$47,9,FALSE))</f>
        <v>0</v>
      </c>
      <c r="L101" s="62">
        <f>IF(ISNA(VLOOKUP($A101,'10 km'!$B$2:$B$50,1,FALSE)),0,VLOOKUP($A101,'10 km'!$B$2:$D$50,3,FALSE))</f>
        <v>0</v>
      </c>
      <c r="M101" s="62">
        <f>IF(ISNA(VLOOKUP($A101,'Peter Moor 2000m'!$C$2:$C$30,1,FALSE)),0,VLOOKUP($A101,'Peter Moor 2000m'!$C$2:$I$30,7,FALSE))</f>
        <v>0</v>
      </c>
      <c r="N101" s="62">
        <f>IF(ISNA(VLOOKUP($A101,'Max Howard Tan handicap'!$C$2:$C$23,1,FALSE)),0,VLOOKUP($A101,'Max Howard Tan handicap'!$C$2:$I$23,7,FALSE))</f>
        <v>0</v>
      </c>
      <c r="O101" s="88">
        <f>IF(ISNA(VLOOKUP($A101,parkrun!$B$2:$H$145,1,FALSE)),0,VLOOKUP($A101,parkrun!$B$2:$H$145,7,FALSE))</f>
        <v>73.61</v>
      </c>
      <c r="P101" s="133">
        <f>SUM(F101:O101)</f>
        <v>73.61</v>
      </c>
      <c r="Q101" s="134">
        <f>COUNTIF(F101:O101,"&gt;0")</f>
        <v>1</v>
      </c>
      <c r="R101" s="215">
        <f>SMALL(F101:O101,1)+SMALL(F101:O101,2)</f>
        <v>0</v>
      </c>
      <c r="S101" s="215">
        <f>IF(Q101=1,P101,P101-R101)</f>
        <v>73.61</v>
      </c>
      <c r="T101" s="216">
        <f>RANK(P101,$P$5:$P$230,0)</f>
        <v>97</v>
      </c>
      <c r="U101" s="26">
        <f>RANK(S101,$S$5:$S$230,0)</f>
        <v>97</v>
      </c>
      <c r="W101" s="113">
        <v>27503</v>
      </c>
      <c r="Y101" s="44"/>
      <c r="AD101" s="44"/>
    </row>
    <row r="102" spans="1:30" x14ac:dyDescent="0.2">
      <c r="A102" s="38" t="s">
        <v>133</v>
      </c>
      <c r="B102" s="81">
        <v>162</v>
      </c>
      <c r="C102" s="81" t="s">
        <v>233</v>
      </c>
      <c r="D102" s="146">
        <v>28051</v>
      </c>
      <c r="E102" s="81" t="s">
        <v>214</v>
      </c>
      <c r="F102" s="61">
        <f>IF(ISNA(VLOOKUP($A102,'2 Bridges Relay'!$F$2:$F$67,1,FALSE)),0,VLOOKUP($A102,'2 Bridges Relay'!$F$2:$J$67,5,FALSE))</f>
        <v>0</v>
      </c>
      <c r="G102" s="88">
        <f>IF(ISNA(VLOOKUP($A102,'5M''s'!$D$2:$E$27,1,FALSE)),0,VLOOKUP($A102,'5M''s'!$D$2:$E$27,2,FALSE))</f>
        <v>0</v>
      </c>
      <c r="H102" s="62">
        <f>IF(ISNA(VLOOKUP($A102,'Mile handicap'!$C$2:$C$51,1,FALSE)),0,VLOOKUP($A102,'Mile handicap'!$C$2:$K$51,9,FALSE))</f>
        <v>0</v>
      </c>
      <c r="I102" s="62">
        <f>IF(ISNA(VLOOKUP($A102,'5000m handicap'!$C$2:$C$46,1,FALSE)),0,VLOOKUP($A102,'5000m handicap'!$C$2:$K$46,9,FALSE))</f>
        <v>0</v>
      </c>
      <c r="J102" s="62">
        <f>IF(ISNA(VLOOKUP($A102,'KL handicap'!$C$2:$C$37,1,FALSE)),0,VLOOKUP($A102,'KL handicap'!$C$2:$I$37,7,FALSE))</f>
        <v>0</v>
      </c>
      <c r="K102" s="62">
        <f>IF(ISNA(VLOOKUP($A102,'3000m handicap'!$C$2:$C$47,1,FALSE)),0,VLOOKUP($A102,'3000m handicap'!$C$2:$K$47,9,FALSE))</f>
        <v>0</v>
      </c>
      <c r="L102" s="62">
        <f>IF(ISNA(VLOOKUP($A102,'10 km'!$B$2:$B$50,1,FALSE)),0,VLOOKUP($A102,'10 km'!$B$2:$D$50,3,FALSE))</f>
        <v>0</v>
      </c>
      <c r="M102" s="62">
        <f>IF(ISNA(VLOOKUP($A102,'Peter Moor 2000m'!$C$2:$C$30,1,FALSE)),0,VLOOKUP($A102,'Peter Moor 2000m'!$C$2:$I$30,7,FALSE))</f>
        <v>0</v>
      </c>
      <c r="N102" s="62">
        <f>IF(ISNA(VLOOKUP($A102,'Max Howard Tan handicap'!$C$2:$C$23,1,FALSE)),0,VLOOKUP($A102,'Max Howard Tan handicap'!$C$2:$I$23,7,FALSE))</f>
        <v>0</v>
      </c>
      <c r="O102" s="88">
        <f>IF(ISNA(VLOOKUP($A102,parkrun!$B$2:$H$145,1,FALSE)),0,VLOOKUP($A102,parkrun!$B$2:$H$145,7,FALSE))</f>
        <v>72.92</v>
      </c>
      <c r="P102" s="133">
        <f>SUM(F102:O102)</f>
        <v>72.92</v>
      </c>
      <c r="Q102" s="134">
        <f>COUNTIF(F102:O102,"&gt;0")</f>
        <v>1</v>
      </c>
      <c r="R102" s="215">
        <f>SMALL(F102:O102,1)+SMALL(F102:O102,2)</f>
        <v>0</v>
      </c>
      <c r="S102" s="215">
        <f>IF(Q102=1,P102,P102-R102)</f>
        <v>72.92</v>
      </c>
      <c r="T102" s="216">
        <f>RANK(P102,$P$5:$P$230,0)</f>
        <v>98</v>
      </c>
      <c r="U102" s="26">
        <f>RANK(S102,$S$5:$S$230,0)</f>
        <v>98</v>
      </c>
      <c r="W102" s="113">
        <v>26323</v>
      </c>
      <c r="Y102" s="44"/>
      <c r="AD102" s="44"/>
    </row>
    <row r="103" spans="1:30" x14ac:dyDescent="0.2">
      <c r="A103" s="38" t="s">
        <v>271</v>
      </c>
      <c r="B103" s="81">
        <v>249</v>
      </c>
      <c r="C103" s="81" t="s">
        <v>233</v>
      </c>
      <c r="D103" s="146">
        <v>25457</v>
      </c>
      <c r="E103" s="81" t="s">
        <v>214</v>
      </c>
      <c r="F103" s="61">
        <f>IF(ISNA(VLOOKUP($A103,'2 Bridges Relay'!$F$2:$F$67,1,FALSE)),0,VLOOKUP($A103,'2 Bridges Relay'!$F$2:$J$67,5,FALSE))</f>
        <v>0</v>
      </c>
      <c r="G103" s="88">
        <f>IF(ISNA(VLOOKUP($A103,'5M''s'!$D$2:$E$27,1,FALSE)),0,VLOOKUP($A103,'5M''s'!$D$2:$E$27,2,FALSE))</f>
        <v>0</v>
      </c>
      <c r="H103" s="62">
        <f>IF(ISNA(VLOOKUP($A103,'Mile handicap'!$C$2:$C$51,1,FALSE)),0,VLOOKUP($A103,'Mile handicap'!$C$2:$K$51,9,FALSE))</f>
        <v>0</v>
      </c>
      <c r="I103" s="62">
        <f>IF(ISNA(VLOOKUP($A103,'5000m handicap'!$C$2:$C$46,1,FALSE)),0,VLOOKUP($A103,'5000m handicap'!$C$2:$K$46,9,FALSE))</f>
        <v>0</v>
      </c>
      <c r="J103" s="62">
        <f>IF(ISNA(VLOOKUP($A103,'KL handicap'!$C$2:$C$37,1,FALSE)),0,VLOOKUP($A103,'KL handicap'!$C$2:$I$37,7,FALSE))</f>
        <v>0</v>
      </c>
      <c r="K103" s="62">
        <f>IF(ISNA(VLOOKUP($A103,'3000m handicap'!$C$2:$C$47,1,FALSE)),0,VLOOKUP($A103,'3000m handicap'!$C$2:$K$47,9,FALSE))</f>
        <v>0</v>
      </c>
      <c r="L103" s="62">
        <f>IF(ISNA(VLOOKUP($A103,'10 km'!$B$2:$B$50,1,FALSE)),0,VLOOKUP($A103,'10 km'!$B$2:$D$50,3,FALSE))</f>
        <v>69.39</v>
      </c>
      <c r="M103" s="62">
        <f>IF(ISNA(VLOOKUP($A103,'Peter Moor 2000m'!$C$2:$C$30,1,FALSE)),0,VLOOKUP($A103,'Peter Moor 2000m'!$C$2:$I$30,7,FALSE))</f>
        <v>0</v>
      </c>
      <c r="N103" s="62">
        <f>IF(ISNA(VLOOKUP($A103,'Max Howard Tan handicap'!$C$2:$C$23,1,FALSE)),0,VLOOKUP($A103,'Max Howard Tan handicap'!$C$2:$I$23,7,FALSE))</f>
        <v>0</v>
      </c>
      <c r="O103" s="88">
        <f>IF(ISNA(VLOOKUP($A103,parkrun!$B$2:$H$145,1,FALSE)),0,VLOOKUP($A103,parkrun!$B$2:$H$145,7,FALSE))</f>
        <v>0</v>
      </c>
      <c r="P103" s="133">
        <f>SUM(F103:O103)</f>
        <v>69.39</v>
      </c>
      <c r="Q103" s="134">
        <f>COUNTIF(F103:O103,"&gt;0")</f>
        <v>1</v>
      </c>
      <c r="R103" s="215">
        <f>SMALL(F103:O103,1)+SMALL(F103:O103,2)</f>
        <v>0</v>
      </c>
      <c r="S103" s="215">
        <f>IF(Q103=1,P103,P103-R103)</f>
        <v>69.39</v>
      </c>
      <c r="T103" s="216">
        <f>RANK(P103,$P$5:$P$230,0)</f>
        <v>99</v>
      </c>
      <c r="U103" s="26">
        <f>RANK(S103,$S$5:$S$230,0)</f>
        <v>99</v>
      </c>
      <c r="W103" s="113">
        <v>28533</v>
      </c>
      <c r="Y103" s="44"/>
      <c r="AD103" s="44"/>
    </row>
    <row r="104" spans="1:30" x14ac:dyDescent="0.2">
      <c r="A104" s="38" t="s">
        <v>203</v>
      </c>
      <c r="B104" s="81">
        <v>206</v>
      </c>
      <c r="C104" s="81" t="s">
        <v>233</v>
      </c>
      <c r="D104" s="146">
        <v>26960</v>
      </c>
      <c r="E104" s="81" t="s">
        <v>214</v>
      </c>
      <c r="F104" s="61">
        <f>IF(ISNA(VLOOKUP($A104,'2 Bridges Relay'!$F$2:$F$67,1,FALSE)),0,VLOOKUP($A104,'2 Bridges Relay'!$F$2:$J$67,5,FALSE))</f>
        <v>0</v>
      </c>
      <c r="G104" s="88">
        <f>IF(ISNA(VLOOKUP($A104,'5M''s'!$D$2:$E$27,1,FALSE)),0,VLOOKUP($A104,'5M''s'!$D$2:$E$27,2,FALSE))</f>
        <v>0</v>
      </c>
      <c r="H104" s="62">
        <f>IF(ISNA(VLOOKUP($A104,'Mile handicap'!$C$2:$C$51,1,FALSE)),0,VLOOKUP($A104,'Mile handicap'!$C$2:$K$51,9,FALSE))</f>
        <v>0</v>
      </c>
      <c r="I104" s="62">
        <f>IF(ISNA(VLOOKUP($A104,'5000m handicap'!$C$2:$C$46,1,FALSE)),0,VLOOKUP($A104,'5000m handicap'!$C$2:$K$46,9,FALSE))</f>
        <v>0</v>
      </c>
      <c r="J104" s="62">
        <f>IF(ISNA(VLOOKUP($A104,'KL handicap'!$C$2:$C$37,1,FALSE)),0,VLOOKUP($A104,'KL handicap'!$C$2:$I$37,7,FALSE))</f>
        <v>0</v>
      </c>
      <c r="K104" s="62">
        <f>IF(ISNA(VLOOKUP($A104,'3000m handicap'!$C$2:$C$47,1,FALSE)),0,VLOOKUP($A104,'3000m handicap'!$C$2:$K$47,9,FALSE))</f>
        <v>0</v>
      </c>
      <c r="L104" s="62">
        <f>IF(ISNA(VLOOKUP($A104,'10 km'!$B$2:$B$50,1,FALSE)),0,VLOOKUP($A104,'10 km'!$B$2:$D$50,3,FALSE))</f>
        <v>67.349999999999994</v>
      </c>
      <c r="M104" s="62">
        <f>IF(ISNA(VLOOKUP($A104,'Peter Moor 2000m'!$C$2:$C$30,1,FALSE)),0,VLOOKUP($A104,'Peter Moor 2000m'!$C$2:$I$30,7,FALSE))</f>
        <v>0</v>
      </c>
      <c r="N104" s="62">
        <f>IF(ISNA(VLOOKUP($A104,'Max Howard Tan handicap'!$C$2:$C$23,1,FALSE)),0,VLOOKUP($A104,'Max Howard Tan handicap'!$C$2:$I$23,7,FALSE))</f>
        <v>0</v>
      </c>
      <c r="O104" s="88">
        <f>IF(ISNA(VLOOKUP($A104,parkrun!$B$2:$H$145,1,FALSE)),0,VLOOKUP($A104,parkrun!$B$2:$H$145,7,FALSE))</f>
        <v>0</v>
      </c>
      <c r="P104" s="133">
        <f>SUM(F104:O104)</f>
        <v>67.349999999999994</v>
      </c>
      <c r="Q104" s="134">
        <f>COUNTIF(F104:O104,"&gt;0")</f>
        <v>1</v>
      </c>
      <c r="R104" s="215">
        <f>SMALL(F104:O104,1)+SMALL(F104:O104,2)</f>
        <v>0</v>
      </c>
      <c r="S104" s="215">
        <f>IF(Q104=1,P104,P104-R104)</f>
        <v>67.349999999999994</v>
      </c>
      <c r="T104" s="216">
        <f>RANK(P104,$P$5:$P$230,0)</f>
        <v>100</v>
      </c>
      <c r="U104" s="26">
        <f>RANK(S104,$S$5:$S$230,0)</f>
        <v>100</v>
      </c>
      <c r="W104" s="113">
        <v>29689</v>
      </c>
      <c r="Y104" s="44"/>
      <c r="AD104" s="44"/>
    </row>
    <row r="105" spans="1:30" x14ac:dyDescent="0.2">
      <c r="A105" s="46" t="s">
        <v>66</v>
      </c>
      <c r="B105" s="81">
        <v>113</v>
      </c>
      <c r="C105" s="81" t="s">
        <v>233</v>
      </c>
      <c r="D105" s="146">
        <v>28172</v>
      </c>
      <c r="E105" s="81" t="s">
        <v>214</v>
      </c>
      <c r="F105" s="61">
        <f>IF(ISNA(VLOOKUP($A105,'2 Bridges Relay'!$F$2:$F$67,1,FALSE)),0,VLOOKUP($A105,'2 Bridges Relay'!$F$2:$J$67,5,FALSE))</f>
        <v>0</v>
      </c>
      <c r="G105" s="88">
        <f>IF(ISNA(VLOOKUP($A105,'5M''s'!$D$2:$E$27,1,FALSE)),0,VLOOKUP($A105,'5M''s'!$D$2:$E$27,2,FALSE))</f>
        <v>0</v>
      </c>
      <c r="H105" s="62">
        <f>IF(ISNA(VLOOKUP($A105,'Mile handicap'!$C$2:$C$51,1,FALSE)),0,VLOOKUP($A105,'Mile handicap'!$C$2:$K$51,9,FALSE))</f>
        <v>0</v>
      </c>
      <c r="I105" s="62">
        <f>IF(ISNA(VLOOKUP($A105,'5000m handicap'!$C$2:$C$46,1,FALSE)),0,VLOOKUP($A105,'5000m handicap'!$C$2:$K$46,9,FALSE))</f>
        <v>0</v>
      </c>
      <c r="J105" s="62">
        <f>IF(ISNA(VLOOKUP($A105,'KL handicap'!$C$2:$C$37,1,FALSE)),0,VLOOKUP($A105,'KL handicap'!$C$2:$I$37,7,FALSE))</f>
        <v>0</v>
      </c>
      <c r="K105" s="62">
        <f>IF(ISNA(VLOOKUP($A105,'3000m handicap'!$C$2:$C$47,1,FALSE)),0,VLOOKUP($A105,'3000m handicap'!$C$2:$K$47,9,FALSE))</f>
        <v>0</v>
      </c>
      <c r="L105" s="62">
        <f>IF(ISNA(VLOOKUP($A105,'10 km'!$B$2:$B$50,1,FALSE)),0,VLOOKUP($A105,'10 km'!$B$2:$D$50,3,FALSE))</f>
        <v>0</v>
      </c>
      <c r="M105" s="62">
        <f>IF(ISNA(VLOOKUP($A105,'Peter Moor 2000m'!$C$2:$C$30,1,FALSE)),0,VLOOKUP($A105,'Peter Moor 2000m'!$C$2:$I$30,7,FALSE))</f>
        <v>0</v>
      </c>
      <c r="N105" s="62">
        <f>IF(ISNA(VLOOKUP($A105,'Max Howard Tan handicap'!$C$2:$C$23,1,FALSE)),0,VLOOKUP($A105,'Max Howard Tan handicap'!$C$2:$I$23,7,FALSE))</f>
        <v>0</v>
      </c>
      <c r="O105" s="88">
        <f>IF(ISNA(VLOOKUP($A105,parkrun!$B$2:$H$145,1,FALSE)),0,VLOOKUP($A105,parkrun!$B$2:$H$145,7,FALSE))</f>
        <v>63.89</v>
      </c>
      <c r="P105" s="133">
        <f>SUM(F105:O105)</f>
        <v>63.89</v>
      </c>
      <c r="Q105" s="134">
        <f>COUNTIF(F105:O105,"&gt;0")</f>
        <v>1</v>
      </c>
      <c r="R105" s="215">
        <f>SMALL(F105:O105,1)+SMALL(F105:O105,2)</f>
        <v>0</v>
      </c>
      <c r="S105" s="215">
        <f>IF(Q105=1,P105,P105-R105)</f>
        <v>63.89</v>
      </c>
      <c r="T105" s="216">
        <f>RANK(P105,$P$5:$P$230,0)</f>
        <v>101</v>
      </c>
      <c r="U105" s="26">
        <f>RANK(S105,$S$5:$S$230,0)</f>
        <v>101</v>
      </c>
      <c r="W105" s="113">
        <v>23122</v>
      </c>
      <c r="Y105" s="45"/>
      <c r="AD105" s="45"/>
    </row>
    <row r="106" spans="1:30" x14ac:dyDescent="0.2">
      <c r="A106" s="46" t="s">
        <v>355</v>
      </c>
      <c r="B106" s="81">
        <v>73</v>
      </c>
      <c r="C106" s="81" t="s">
        <v>233</v>
      </c>
      <c r="D106" s="146">
        <v>26074</v>
      </c>
      <c r="E106" s="81" t="s">
        <v>214</v>
      </c>
      <c r="F106" s="61">
        <f>IF(ISNA(VLOOKUP($A106,'2 Bridges Relay'!$F$2:$F$67,1,FALSE)),0,VLOOKUP($A106,'2 Bridges Relay'!$F$2:$J$67,5,FALSE))</f>
        <v>0</v>
      </c>
      <c r="G106" s="88">
        <f>IF(ISNA(VLOOKUP($A106,'5M''s'!$D$2:$E$27,1,FALSE)),0,VLOOKUP($A106,'5M''s'!$D$2:$E$27,2,FALSE))</f>
        <v>0</v>
      </c>
      <c r="H106" s="62">
        <f>IF(ISNA(VLOOKUP($A106,'Mile handicap'!$C$2:$C$51,1,FALSE)),0,VLOOKUP($A106,'Mile handicap'!$C$2:$K$51,9,FALSE))</f>
        <v>0</v>
      </c>
      <c r="I106" s="62">
        <f>IF(ISNA(VLOOKUP($A106,'5000m handicap'!$C$2:$C$46,1,FALSE)),0,VLOOKUP($A106,'5000m handicap'!$C$2:$K$46,9,FALSE))</f>
        <v>0</v>
      </c>
      <c r="J106" s="62">
        <f>IF(ISNA(VLOOKUP($A106,'KL handicap'!$C$2:$C$37,1,FALSE)),0,VLOOKUP($A106,'KL handicap'!$C$2:$I$37,7,FALSE))</f>
        <v>0</v>
      </c>
      <c r="K106" s="62">
        <f>IF(ISNA(VLOOKUP($A106,'3000m handicap'!$C$2:$C$47,1,FALSE)),0,VLOOKUP($A106,'3000m handicap'!$C$2:$K$47,9,FALSE))</f>
        <v>0</v>
      </c>
      <c r="L106" s="62">
        <f>IF(ISNA(VLOOKUP($A106,'10 km'!$B$2:$B$50,1,FALSE)),0,VLOOKUP($A106,'10 km'!$B$2:$D$50,3,FALSE))</f>
        <v>63.27</v>
      </c>
      <c r="M106" s="62">
        <f>IF(ISNA(VLOOKUP($A106,'Peter Moor 2000m'!$C$2:$C$30,1,FALSE)),0,VLOOKUP($A106,'Peter Moor 2000m'!$C$2:$I$30,7,FALSE))</f>
        <v>0</v>
      </c>
      <c r="N106" s="62">
        <f>IF(ISNA(VLOOKUP($A106,'Max Howard Tan handicap'!$C$2:$C$23,1,FALSE)),0,VLOOKUP($A106,'Max Howard Tan handicap'!$C$2:$I$23,7,FALSE))</f>
        <v>0</v>
      </c>
      <c r="O106" s="88">
        <f>IF(ISNA(VLOOKUP($A106,parkrun!$B$2:$H$145,1,FALSE)),0,VLOOKUP($A106,parkrun!$B$2:$H$145,7,FALSE))</f>
        <v>0</v>
      </c>
      <c r="P106" s="133">
        <f>SUM(F106:O106)</f>
        <v>63.27</v>
      </c>
      <c r="Q106" s="134">
        <f>COUNTIF(F106:O106,"&gt;0")</f>
        <v>1</v>
      </c>
      <c r="R106" s="215">
        <f>SMALL(F106:O106,1)+SMALL(F106:O106,2)</f>
        <v>0</v>
      </c>
      <c r="S106" s="215">
        <f>IF(Q106=1,P106,P106-R106)</f>
        <v>63.27</v>
      </c>
      <c r="T106" s="216">
        <f>RANK(P106,$P$5:$P$230,0)</f>
        <v>102</v>
      </c>
      <c r="U106" s="26">
        <f>RANK(S106,$S$5:$S$230,0)</f>
        <v>102</v>
      </c>
      <c r="W106" s="113">
        <v>25493</v>
      </c>
      <c r="Y106" s="45"/>
      <c r="AD106" s="45"/>
    </row>
    <row r="107" spans="1:30" x14ac:dyDescent="0.2">
      <c r="A107" s="46" t="s">
        <v>141</v>
      </c>
      <c r="B107" s="81">
        <v>105</v>
      </c>
      <c r="C107" s="81" t="s">
        <v>233</v>
      </c>
      <c r="D107" s="146">
        <v>25449</v>
      </c>
      <c r="E107" s="81" t="s">
        <v>214</v>
      </c>
      <c r="F107" s="61">
        <f>IF(ISNA(VLOOKUP($A107,'2 Bridges Relay'!$F$2:$F$67,1,FALSE)),0,VLOOKUP($A107,'2 Bridges Relay'!$F$2:$J$67,5,FALSE))</f>
        <v>0</v>
      </c>
      <c r="G107" s="88">
        <f>IF(ISNA(VLOOKUP($A107,'5M''s'!$D$2:$E$27,1,FALSE)),0,VLOOKUP($A107,'5M''s'!$D$2:$E$27,2,FALSE))</f>
        <v>0</v>
      </c>
      <c r="H107" s="62">
        <f>IF(ISNA(VLOOKUP($A107,'Mile handicap'!$C$2:$C$51,1,FALSE)),0,VLOOKUP($A107,'Mile handicap'!$C$2:$K$51,9,FALSE))</f>
        <v>0</v>
      </c>
      <c r="I107" s="62">
        <f>IF(ISNA(VLOOKUP($A107,'5000m handicap'!$C$2:$C$46,1,FALSE)),0,VLOOKUP($A107,'5000m handicap'!$C$2:$K$46,9,FALSE))</f>
        <v>0</v>
      </c>
      <c r="J107" s="62">
        <f>IF(ISNA(VLOOKUP($A107,'KL handicap'!$C$2:$C$37,1,FALSE)),0,VLOOKUP($A107,'KL handicap'!$C$2:$I$37,7,FALSE))</f>
        <v>0</v>
      </c>
      <c r="K107" s="62">
        <f>IF(ISNA(VLOOKUP($A107,'3000m handicap'!$C$2:$C$47,1,FALSE)),0,VLOOKUP($A107,'3000m handicap'!$C$2:$K$47,9,FALSE))</f>
        <v>0</v>
      </c>
      <c r="L107" s="62">
        <f>IF(ISNA(VLOOKUP($A107,'10 km'!$B$2:$B$50,1,FALSE)),0,VLOOKUP($A107,'10 km'!$B$2:$D$50,3,FALSE))</f>
        <v>22.45</v>
      </c>
      <c r="M107" s="62">
        <f>IF(ISNA(VLOOKUP($A107,'Peter Moor 2000m'!$C$2:$C$30,1,FALSE)),0,VLOOKUP($A107,'Peter Moor 2000m'!$C$2:$I$30,7,FALSE))</f>
        <v>0</v>
      </c>
      <c r="N107" s="62">
        <f>IF(ISNA(VLOOKUP($A107,'Max Howard Tan handicap'!$C$2:$C$23,1,FALSE)),0,VLOOKUP($A107,'Max Howard Tan handicap'!$C$2:$I$23,7,FALSE))</f>
        <v>0</v>
      </c>
      <c r="O107" s="88">
        <f>IF(ISNA(VLOOKUP($A107,parkrun!$B$2:$H$145,1,FALSE)),0,VLOOKUP($A107,parkrun!$B$2:$H$145,7,FALSE))</f>
        <v>38.89</v>
      </c>
      <c r="P107" s="133">
        <f>SUM(F107:O107)</f>
        <v>61.34</v>
      </c>
      <c r="Q107" s="134">
        <f>COUNTIF(F107:O107,"&gt;0")</f>
        <v>2</v>
      </c>
      <c r="R107" s="215">
        <f>SMALL(F107:O107,1)+SMALL(F107:O107,2)</f>
        <v>0</v>
      </c>
      <c r="S107" s="215">
        <f>IF(Q107=1,P107,P107-R107)</f>
        <v>61.34</v>
      </c>
      <c r="T107" s="216">
        <f>RANK(P107,$P$5:$P$230,0)</f>
        <v>103</v>
      </c>
      <c r="U107" s="26">
        <f>RANK(S107,$S$5:$S$230,0)</f>
        <v>103</v>
      </c>
      <c r="W107" s="113">
        <v>28528</v>
      </c>
      <c r="Y107" s="45"/>
      <c r="AD107" s="45"/>
    </row>
    <row r="108" spans="1:30" x14ac:dyDescent="0.2">
      <c r="A108" s="46" t="s">
        <v>87</v>
      </c>
      <c r="B108" s="81">
        <v>53</v>
      </c>
      <c r="C108" s="81" t="s">
        <v>233</v>
      </c>
      <c r="D108" s="146">
        <v>19372</v>
      </c>
      <c r="E108" s="81" t="s">
        <v>196</v>
      </c>
      <c r="F108" s="61">
        <f>IF(ISNA(VLOOKUP($A108,'2 Bridges Relay'!$F$2:$F$67,1,FALSE)),0,VLOOKUP($A108,'2 Bridges Relay'!$F$2:$J$67,5,FALSE))</f>
        <v>0</v>
      </c>
      <c r="G108" s="88">
        <f>IF(ISNA(VLOOKUP($A108,'5M''s'!$D$2:$E$27,1,FALSE)),0,VLOOKUP($A108,'5M''s'!$D$2:$E$27,2,FALSE))</f>
        <v>0</v>
      </c>
      <c r="H108" s="62">
        <f>IF(ISNA(VLOOKUP($A108,'Mile handicap'!$C$2:$C$51,1,FALSE)),0,VLOOKUP($A108,'Mile handicap'!$C$2:$K$51,9,FALSE))</f>
        <v>0</v>
      </c>
      <c r="I108" s="62">
        <f>IF(ISNA(VLOOKUP($A108,'5000m handicap'!$C$2:$C$46,1,FALSE)),0,VLOOKUP($A108,'5000m handicap'!$C$2:$K$46,9,FALSE))</f>
        <v>0</v>
      </c>
      <c r="J108" s="62">
        <f>IF(ISNA(VLOOKUP($A108,'KL handicap'!$C$2:$C$37,1,FALSE)),0,VLOOKUP($A108,'KL handicap'!$C$2:$I$37,7,FALSE))</f>
        <v>0</v>
      </c>
      <c r="K108" s="62">
        <f>IF(ISNA(VLOOKUP($A108,'3000m handicap'!$C$2:$C$47,1,FALSE)),0,VLOOKUP($A108,'3000m handicap'!$C$2:$K$47,9,FALSE))</f>
        <v>0</v>
      </c>
      <c r="L108" s="62">
        <f>IF(ISNA(VLOOKUP($A108,'10 km'!$B$2:$B$50,1,FALSE)),0,VLOOKUP($A108,'10 km'!$B$2:$D$50,3,FALSE))</f>
        <v>0</v>
      </c>
      <c r="M108" s="62">
        <f>IF(ISNA(VLOOKUP($A108,'Peter Moor 2000m'!$C$2:$C$30,1,FALSE)),0,VLOOKUP($A108,'Peter Moor 2000m'!$C$2:$I$30,7,FALSE))</f>
        <v>0</v>
      </c>
      <c r="N108" s="62">
        <f>IF(ISNA(VLOOKUP($A108,'Max Howard Tan handicap'!$C$2:$C$23,1,FALSE)),0,VLOOKUP($A108,'Max Howard Tan handicap'!$C$2:$I$23,7,FALSE))</f>
        <v>0</v>
      </c>
      <c r="O108" s="88">
        <f>IF(ISNA(VLOOKUP($A108,parkrun!$B$2:$H$145,1,FALSE)),0,VLOOKUP($A108,parkrun!$B$2:$H$145,7,FALSE))</f>
        <v>60.42</v>
      </c>
      <c r="P108" s="133">
        <f>SUM(F108:O108)</f>
        <v>60.42</v>
      </c>
      <c r="Q108" s="134">
        <f>COUNTIF(F108:O108,"&gt;0")</f>
        <v>1</v>
      </c>
      <c r="R108" s="215">
        <f>SMALL(F108:O108,1)+SMALL(F108:O108,2)</f>
        <v>0</v>
      </c>
      <c r="S108" s="215">
        <f>IF(Q108=1,P108,P108-R108)</f>
        <v>60.42</v>
      </c>
      <c r="T108" s="216">
        <f>RANK(P108,$P$5:$P$230,0)</f>
        <v>104</v>
      </c>
      <c r="U108" s="26">
        <f>RANK(S108,$S$5:$S$230,0)</f>
        <v>104</v>
      </c>
      <c r="W108" s="113">
        <v>25386</v>
      </c>
      <c r="Y108" s="45"/>
      <c r="AD108" s="45"/>
    </row>
    <row r="109" spans="1:30" x14ac:dyDescent="0.2">
      <c r="A109" s="46" t="s">
        <v>68</v>
      </c>
      <c r="B109" s="81">
        <v>107</v>
      </c>
      <c r="C109" s="81" t="s">
        <v>233</v>
      </c>
      <c r="D109" s="146">
        <v>24264</v>
      </c>
      <c r="E109" s="81" t="s">
        <v>196</v>
      </c>
      <c r="F109" s="61">
        <f>IF(ISNA(VLOOKUP($A109,'2 Bridges Relay'!$F$2:$F$67,1,FALSE)),0,VLOOKUP($A109,'2 Bridges Relay'!$F$2:$J$67,5,FALSE))</f>
        <v>0</v>
      </c>
      <c r="G109" s="88">
        <f>IF(ISNA(VLOOKUP($A109,'5M''s'!$D$2:$E$27,1,FALSE)),0,VLOOKUP($A109,'5M''s'!$D$2:$E$27,2,FALSE))</f>
        <v>0</v>
      </c>
      <c r="H109" s="62">
        <f>IF(ISNA(VLOOKUP($A109,'Mile handicap'!$C$2:$C$51,1,FALSE)),0,VLOOKUP($A109,'Mile handicap'!$C$2:$K$51,9,FALSE))</f>
        <v>14.63</v>
      </c>
      <c r="I109" s="62">
        <f>IF(ISNA(VLOOKUP($A109,'5000m handicap'!$C$2:$C$46,1,FALSE)),0,VLOOKUP($A109,'5000m handicap'!$C$2:$K$46,9,FALSE))</f>
        <v>0</v>
      </c>
      <c r="J109" s="62">
        <f>IF(ISNA(VLOOKUP($A109,'KL handicap'!$C$2:$C$37,1,FALSE)),0,VLOOKUP($A109,'KL handicap'!$C$2:$I$37,7,FALSE))</f>
        <v>0</v>
      </c>
      <c r="K109" s="62">
        <f>IF(ISNA(VLOOKUP($A109,'3000m handicap'!$C$2:$C$47,1,FALSE)),0,VLOOKUP($A109,'3000m handicap'!$C$2:$K$47,9,FALSE))</f>
        <v>0</v>
      </c>
      <c r="L109" s="62">
        <f>IF(ISNA(VLOOKUP($A109,'10 km'!$B$2:$B$50,1,FALSE)),0,VLOOKUP($A109,'10 km'!$B$2:$D$50,3,FALSE))</f>
        <v>0</v>
      </c>
      <c r="M109" s="62">
        <f>IF(ISNA(VLOOKUP($A109,'Peter Moor 2000m'!$C$2:$C$30,1,FALSE)),0,VLOOKUP($A109,'Peter Moor 2000m'!$C$2:$I$30,7,FALSE))</f>
        <v>0</v>
      </c>
      <c r="N109" s="62">
        <f>IF(ISNA(VLOOKUP($A109,'Max Howard Tan handicap'!$C$2:$C$23,1,FALSE)),0,VLOOKUP($A109,'Max Howard Tan handicap'!$C$2:$I$23,7,FALSE))</f>
        <v>0</v>
      </c>
      <c r="O109" s="88">
        <f>IF(ISNA(VLOOKUP($A109,parkrun!$B$2:$H$145,1,FALSE)),0,VLOOKUP($A109,parkrun!$B$2:$H$145,7,FALSE))</f>
        <v>45.14</v>
      </c>
      <c r="P109" s="133">
        <f>SUM(F109:O109)</f>
        <v>59.77</v>
      </c>
      <c r="Q109" s="134">
        <f>COUNTIF(F109:O109,"&gt;0")</f>
        <v>2</v>
      </c>
      <c r="R109" s="215">
        <f>SMALL(F109:O109,1)+SMALL(F109:O109,2)</f>
        <v>0</v>
      </c>
      <c r="S109" s="215">
        <f>IF(Q109=1,P109,P109-R109)</f>
        <v>59.77</v>
      </c>
      <c r="T109" s="216">
        <f>RANK(P109,$P$5:$P$230,0)</f>
        <v>105</v>
      </c>
      <c r="U109" s="26">
        <f>RANK(S109,$S$5:$S$230,0)</f>
        <v>105</v>
      </c>
      <c r="W109" s="113">
        <v>26073</v>
      </c>
      <c r="Y109" s="45"/>
      <c r="AD109" s="45"/>
    </row>
    <row r="110" spans="1:30" x14ac:dyDescent="0.2">
      <c r="A110" s="46" t="s">
        <v>665</v>
      </c>
      <c r="B110" s="81">
        <v>330</v>
      </c>
      <c r="C110" s="81" t="s">
        <v>233</v>
      </c>
      <c r="D110" s="146">
        <v>28958</v>
      </c>
      <c r="E110" s="81" t="s">
        <v>214</v>
      </c>
      <c r="F110" s="61">
        <f>IF(ISNA(VLOOKUP($A110,'2 Bridges Relay'!$F$2:$F$67,1,FALSE)),0,VLOOKUP($A110,'2 Bridges Relay'!$F$2:$J$67,5,FALSE))</f>
        <v>0</v>
      </c>
      <c r="G110" s="88">
        <f>IF(ISNA(VLOOKUP($A110,'5M''s'!$D$2:$E$27,1,FALSE)),0,VLOOKUP($A110,'5M''s'!$D$2:$E$27,2,FALSE))</f>
        <v>0</v>
      </c>
      <c r="H110" s="62">
        <f>IF(ISNA(VLOOKUP($A110,'Mile handicap'!$C$2:$C$51,1,FALSE)),0,VLOOKUP($A110,'Mile handicap'!$C$2:$K$51,9,FALSE))</f>
        <v>0</v>
      </c>
      <c r="I110" s="62">
        <f>IF(ISNA(VLOOKUP($A110,'5000m handicap'!$C$2:$C$46,1,FALSE)),0,VLOOKUP($A110,'5000m handicap'!$C$2:$K$46,9,FALSE))</f>
        <v>0</v>
      </c>
      <c r="J110" s="62">
        <f>IF(ISNA(VLOOKUP($A110,'KL handicap'!$C$2:$C$37,1,FALSE)),0,VLOOKUP($A110,'KL handicap'!$C$2:$I$37,7,FALSE))</f>
        <v>0</v>
      </c>
      <c r="K110" s="62">
        <f>IF(ISNA(VLOOKUP($A110,'3000m handicap'!$C$2:$C$47,1,FALSE)),0,VLOOKUP($A110,'3000m handicap'!$C$2:$K$47,9,FALSE))</f>
        <v>0</v>
      </c>
      <c r="L110" s="62">
        <f>IF(ISNA(VLOOKUP($A110,'10 km'!$B$2:$B$50,1,FALSE)),0,VLOOKUP($A110,'10 km'!$B$2:$D$50,3,FALSE))</f>
        <v>0</v>
      </c>
      <c r="M110" s="62">
        <f>IF(ISNA(VLOOKUP($A110,'Peter Moor 2000m'!$C$2:$C$30,1,FALSE)),0,VLOOKUP($A110,'Peter Moor 2000m'!$C$2:$I$30,7,FALSE))</f>
        <v>0</v>
      </c>
      <c r="N110" s="62">
        <f>IF(ISNA(VLOOKUP($A110,'Max Howard Tan handicap'!$C$2:$C$23,1,FALSE)),0,VLOOKUP($A110,'Max Howard Tan handicap'!$C$2:$I$23,7,FALSE))</f>
        <v>0</v>
      </c>
      <c r="O110" s="88">
        <f>IF(ISNA(VLOOKUP($A110,parkrun!$B$2:$H$145,1,FALSE)),0,VLOOKUP($A110,parkrun!$B$2:$H$145,7,FALSE))</f>
        <v>59.03</v>
      </c>
      <c r="P110" s="133">
        <f>SUM(F110:O110)</f>
        <v>59.03</v>
      </c>
      <c r="Q110" s="134">
        <f>COUNTIF(F110:O110,"&gt;0")</f>
        <v>1</v>
      </c>
      <c r="R110" s="215">
        <f>SMALL(F110:O110,1)+SMALL(F110:O110,2)</f>
        <v>0</v>
      </c>
      <c r="S110" s="215">
        <f>IF(Q110=1,P110,P110-R110)</f>
        <v>59.03</v>
      </c>
      <c r="T110" s="216">
        <f>RANK(P110,$P$5:$P$230,0)</f>
        <v>106</v>
      </c>
      <c r="U110" s="26">
        <f>RANK(S110,$S$5:$S$230,0)</f>
        <v>106</v>
      </c>
      <c r="W110" s="113">
        <v>29137</v>
      </c>
      <c r="Y110" s="45"/>
      <c r="AD110" s="45"/>
    </row>
    <row r="111" spans="1:30" x14ac:dyDescent="0.2">
      <c r="A111" s="46" t="s">
        <v>212</v>
      </c>
      <c r="B111" s="81">
        <v>213</v>
      </c>
      <c r="C111" s="81" t="s">
        <v>233</v>
      </c>
      <c r="D111" s="146">
        <v>34343</v>
      </c>
      <c r="E111" s="81" t="s">
        <v>214</v>
      </c>
      <c r="F111" s="61">
        <f>IF(ISNA(VLOOKUP($A111,'2 Bridges Relay'!$F$2:$F$67,1,FALSE)),0,VLOOKUP($A111,'2 Bridges Relay'!$F$2:$J$67,5,FALSE))</f>
        <v>56.67</v>
      </c>
      <c r="G111" s="88">
        <f>IF(ISNA(VLOOKUP($A111,'5M''s'!$D$2:$E$27,1,FALSE)),0,VLOOKUP($A111,'5M''s'!$D$2:$E$27,2,FALSE))</f>
        <v>0</v>
      </c>
      <c r="H111" s="62">
        <f>IF(ISNA(VLOOKUP($A111,'Mile handicap'!$C$2:$C$51,1,FALSE)),0,VLOOKUP($A111,'Mile handicap'!$C$2:$K$51,9,FALSE))</f>
        <v>0</v>
      </c>
      <c r="I111" s="62">
        <f>IF(ISNA(VLOOKUP($A111,'5000m handicap'!$C$2:$C$46,1,FALSE)),0,VLOOKUP($A111,'5000m handicap'!$C$2:$K$46,9,FALSE))</f>
        <v>0</v>
      </c>
      <c r="J111" s="62">
        <f>IF(ISNA(VLOOKUP($A111,'KL handicap'!$C$2:$C$37,1,FALSE)),0,VLOOKUP($A111,'KL handicap'!$C$2:$I$37,7,FALSE))</f>
        <v>0</v>
      </c>
      <c r="K111" s="62">
        <f>IF(ISNA(VLOOKUP($A111,'3000m handicap'!$C$2:$C$47,1,FALSE)),0,VLOOKUP($A111,'3000m handicap'!$C$2:$K$47,9,FALSE))</f>
        <v>0</v>
      </c>
      <c r="L111" s="62">
        <f>IF(ISNA(VLOOKUP($A111,'10 km'!$B$2:$B$50,1,FALSE)),0,VLOOKUP($A111,'10 km'!$B$2:$D$50,3,FALSE))</f>
        <v>0</v>
      </c>
      <c r="M111" s="62">
        <f>IF(ISNA(VLOOKUP($A111,'Peter Moor 2000m'!$C$2:$C$30,1,FALSE)),0,VLOOKUP($A111,'Peter Moor 2000m'!$C$2:$I$30,7,FALSE))</f>
        <v>0</v>
      </c>
      <c r="N111" s="62">
        <f>IF(ISNA(VLOOKUP($A111,'Max Howard Tan handicap'!$C$2:$C$23,1,FALSE)),0,VLOOKUP($A111,'Max Howard Tan handicap'!$C$2:$I$23,7,FALSE))</f>
        <v>0</v>
      </c>
      <c r="O111" s="88">
        <f>IF(ISNA(VLOOKUP($A111,parkrun!$B$2:$H$145,1,FALSE)),0,VLOOKUP($A111,parkrun!$B$2:$H$145,7,FALSE))</f>
        <v>2.08</v>
      </c>
      <c r="P111" s="133">
        <f>SUM(F111:O111)</f>
        <v>58.75</v>
      </c>
      <c r="Q111" s="134">
        <f>COUNTIF(F111:O111,"&gt;0")</f>
        <v>2</v>
      </c>
      <c r="R111" s="215">
        <f>SMALL(F111:O111,1)+SMALL(F111:O111,2)</f>
        <v>0</v>
      </c>
      <c r="S111" s="215">
        <f>IF(Q111=1,P111,P111-R111)</f>
        <v>58.75</v>
      </c>
      <c r="T111" s="216">
        <f>RANK(P111,$P$5:$P$230,0)</f>
        <v>107</v>
      </c>
      <c r="U111" s="26">
        <f>RANK(S111,$S$5:$S$230,0)</f>
        <v>107</v>
      </c>
      <c r="W111" s="113">
        <v>27166</v>
      </c>
      <c r="Y111" s="45"/>
      <c r="AD111" s="45"/>
    </row>
    <row r="112" spans="1:30" x14ac:dyDescent="0.2">
      <c r="A112" s="46" t="s">
        <v>346</v>
      </c>
      <c r="B112" s="81">
        <v>283</v>
      </c>
      <c r="C112" s="81" t="s">
        <v>233</v>
      </c>
      <c r="D112" s="146">
        <v>31589</v>
      </c>
      <c r="E112" s="81" t="s">
        <v>214</v>
      </c>
      <c r="F112" s="61">
        <f>IF(ISNA(VLOOKUP($A112,'2 Bridges Relay'!$F$2:$F$67,1,FALSE)),0,VLOOKUP($A112,'2 Bridges Relay'!$F$2:$J$67,5,FALSE))</f>
        <v>0</v>
      </c>
      <c r="G112" s="88">
        <f>IF(ISNA(VLOOKUP($A112,'5M''s'!$D$2:$E$27,1,FALSE)),0,VLOOKUP($A112,'5M''s'!$D$2:$E$27,2,FALSE))</f>
        <v>0</v>
      </c>
      <c r="H112" s="62">
        <f>IF(ISNA(VLOOKUP($A112,'Mile handicap'!$C$2:$C$51,1,FALSE)),0,VLOOKUP($A112,'Mile handicap'!$C$2:$K$51,9,FALSE))</f>
        <v>0</v>
      </c>
      <c r="I112" s="62">
        <f>IF(ISNA(VLOOKUP($A112,'5000m handicap'!$C$2:$C$46,1,FALSE)),0,VLOOKUP($A112,'5000m handicap'!$C$2:$K$46,9,FALSE))</f>
        <v>0</v>
      </c>
      <c r="J112" s="62">
        <f>IF(ISNA(VLOOKUP($A112,'KL handicap'!$C$2:$C$37,1,FALSE)),0,VLOOKUP($A112,'KL handicap'!$C$2:$I$37,7,FALSE))</f>
        <v>0</v>
      </c>
      <c r="K112" s="62">
        <f>IF(ISNA(VLOOKUP($A112,'3000m handicap'!$C$2:$C$47,1,FALSE)),0,VLOOKUP($A112,'3000m handicap'!$C$2:$K$47,9,FALSE))</f>
        <v>0</v>
      </c>
      <c r="L112" s="62">
        <f>IF(ISNA(VLOOKUP($A112,'10 km'!$B$2:$B$50,1,FALSE)),0,VLOOKUP($A112,'10 km'!$B$2:$D$50,3,FALSE))</f>
        <v>0</v>
      </c>
      <c r="M112" s="62">
        <f>IF(ISNA(VLOOKUP($A112,'Peter Moor 2000m'!$C$2:$C$30,1,FALSE)),0,VLOOKUP($A112,'Peter Moor 2000m'!$C$2:$I$30,7,FALSE))</f>
        <v>0</v>
      </c>
      <c r="N112" s="62">
        <f>IF(ISNA(VLOOKUP($A112,'Max Howard Tan handicap'!$C$2:$C$23,1,FALSE)),0,VLOOKUP($A112,'Max Howard Tan handicap'!$C$2:$I$23,7,FALSE))</f>
        <v>0</v>
      </c>
      <c r="O112" s="88">
        <f>IF(ISNA(VLOOKUP($A112,parkrun!$B$2:$H$145,1,FALSE)),0,VLOOKUP($A112,parkrun!$B$2:$H$145,7,FALSE))</f>
        <v>57.64</v>
      </c>
      <c r="P112" s="133">
        <f>SUM(F112:O112)</f>
        <v>57.64</v>
      </c>
      <c r="Q112" s="134">
        <f>COUNTIF(F112:O112,"&gt;0")</f>
        <v>1</v>
      </c>
      <c r="R112" s="215">
        <f>SMALL(F112:O112,1)+SMALL(F112:O112,2)</f>
        <v>0</v>
      </c>
      <c r="S112" s="215">
        <f>IF(Q112=1,P112,P112-R112)</f>
        <v>57.64</v>
      </c>
      <c r="T112" s="216">
        <f>RANK(P112,$P$5:$P$230,0)</f>
        <v>108</v>
      </c>
      <c r="U112" s="26">
        <f>RANK(S112,$S$5:$S$230,0)</f>
        <v>108</v>
      </c>
      <c r="W112" s="113">
        <v>28674</v>
      </c>
      <c r="Y112" s="45"/>
      <c r="AD112" s="45"/>
    </row>
    <row r="113" spans="1:30" x14ac:dyDescent="0.2">
      <c r="A113" s="46" t="s">
        <v>58</v>
      </c>
      <c r="B113" s="81">
        <v>42</v>
      </c>
      <c r="C113" s="81" t="s">
        <v>233</v>
      </c>
      <c r="D113" s="146">
        <v>22533</v>
      </c>
      <c r="E113" s="81" t="s">
        <v>196</v>
      </c>
      <c r="F113" s="61">
        <f>IF(ISNA(VLOOKUP($A113,'2 Bridges Relay'!$F$2:$F$67,1,FALSE)),0,VLOOKUP($A113,'2 Bridges Relay'!$F$2:$J$67,5,FALSE))</f>
        <v>0</v>
      </c>
      <c r="G113" s="88">
        <f>IF(ISNA(VLOOKUP($A113,'5M''s'!$D$2:$E$27,1,FALSE)),0,VLOOKUP($A113,'5M''s'!$D$2:$E$27,2,FALSE))</f>
        <v>0</v>
      </c>
      <c r="H113" s="62">
        <f>IF(ISNA(VLOOKUP($A113,'Mile handicap'!$C$2:$C$51,1,FALSE)),0,VLOOKUP($A113,'Mile handicap'!$C$2:$K$51,9,FALSE))</f>
        <v>0</v>
      </c>
      <c r="I113" s="62">
        <f>IF(ISNA(VLOOKUP($A113,'5000m handicap'!$C$2:$C$46,1,FALSE)),0,VLOOKUP($A113,'5000m handicap'!$C$2:$K$46,9,FALSE))</f>
        <v>0</v>
      </c>
      <c r="J113" s="62">
        <f>IF(ISNA(VLOOKUP($A113,'KL handicap'!$C$2:$C$37,1,FALSE)),0,VLOOKUP($A113,'KL handicap'!$C$2:$I$37,7,FALSE))</f>
        <v>0</v>
      </c>
      <c r="K113" s="62">
        <f>IF(ISNA(VLOOKUP($A113,'3000m handicap'!$C$2:$C$47,1,FALSE)),0,VLOOKUP($A113,'3000m handicap'!$C$2:$K$47,9,FALSE))</f>
        <v>0</v>
      </c>
      <c r="L113" s="62">
        <f>IF(ISNA(VLOOKUP($A113,'10 km'!$B$2:$B$50,1,FALSE)),0,VLOOKUP($A113,'10 km'!$B$2:$D$50,3,FALSE))</f>
        <v>0</v>
      </c>
      <c r="M113" s="62">
        <f>IF(ISNA(VLOOKUP($A113,'Peter Moor 2000m'!$C$2:$C$30,1,FALSE)),0,VLOOKUP($A113,'Peter Moor 2000m'!$C$2:$I$30,7,FALSE))</f>
        <v>0</v>
      </c>
      <c r="N113" s="62">
        <f>IF(ISNA(VLOOKUP($A113,'Max Howard Tan handicap'!$C$2:$C$23,1,FALSE)),0,VLOOKUP($A113,'Max Howard Tan handicap'!$C$2:$I$23,7,FALSE))</f>
        <v>0</v>
      </c>
      <c r="O113" s="88">
        <f>IF(ISNA(VLOOKUP($A113,parkrun!$B$2:$H$145,1,FALSE)),0,VLOOKUP($A113,parkrun!$B$2:$H$145,7,FALSE))</f>
        <v>57.64</v>
      </c>
      <c r="P113" s="133">
        <f>SUM(F113:O113)</f>
        <v>57.64</v>
      </c>
      <c r="Q113" s="134">
        <f>COUNTIF(F113:O113,"&gt;0")</f>
        <v>1</v>
      </c>
      <c r="R113" s="215">
        <f>SMALL(F113:O113,1)+SMALL(F113:O113,2)</f>
        <v>0</v>
      </c>
      <c r="S113" s="215">
        <f>IF(Q113=1,P113,P113-R113)</f>
        <v>57.64</v>
      </c>
      <c r="T113" s="216">
        <f>RANK(P113,$P$5:$P$230,0)</f>
        <v>108</v>
      </c>
      <c r="U113" s="26">
        <f>RANK(S113,$S$5:$S$230,0)</f>
        <v>108</v>
      </c>
      <c r="W113" s="113">
        <v>22423</v>
      </c>
      <c r="Y113" s="45"/>
      <c r="AD113" s="45"/>
    </row>
    <row r="114" spans="1:30" x14ac:dyDescent="0.2">
      <c r="A114" s="46" t="s">
        <v>286</v>
      </c>
      <c r="B114" s="81">
        <v>257</v>
      </c>
      <c r="C114" s="81" t="s">
        <v>233</v>
      </c>
      <c r="D114" s="146">
        <v>24803</v>
      </c>
      <c r="E114" s="81" t="s">
        <v>196</v>
      </c>
      <c r="F114" s="61">
        <f>IF(ISNA(VLOOKUP($A114,'2 Bridges Relay'!$F$2:$F$67,1,FALSE)),0,VLOOKUP($A114,'2 Bridges Relay'!$F$2:$J$67,5,FALSE))</f>
        <v>0</v>
      </c>
      <c r="G114" s="88">
        <f>IF(ISNA(VLOOKUP($A114,'5M''s'!$D$2:$E$27,1,FALSE)),0,VLOOKUP($A114,'5M''s'!$D$2:$E$27,2,FALSE))</f>
        <v>0</v>
      </c>
      <c r="H114" s="62">
        <f>IF(ISNA(VLOOKUP($A114,'Mile handicap'!$C$2:$C$51,1,FALSE)),0,VLOOKUP($A114,'Mile handicap'!$C$2:$K$51,9,FALSE))</f>
        <v>0</v>
      </c>
      <c r="I114" s="62">
        <f>IF(ISNA(VLOOKUP($A114,'5000m handicap'!$C$2:$C$46,1,FALSE)),0,VLOOKUP($A114,'5000m handicap'!$C$2:$K$46,9,FALSE))</f>
        <v>0</v>
      </c>
      <c r="J114" s="62">
        <f>IF(ISNA(VLOOKUP($A114,'KL handicap'!$C$2:$C$37,1,FALSE)),0,VLOOKUP($A114,'KL handicap'!$C$2:$I$37,7,FALSE))</f>
        <v>0</v>
      </c>
      <c r="K114" s="62">
        <f>IF(ISNA(VLOOKUP($A114,'3000m handicap'!$C$2:$C$47,1,FALSE)),0,VLOOKUP($A114,'3000m handicap'!$C$2:$K$47,9,FALSE))</f>
        <v>0</v>
      </c>
      <c r="L114" s="62">
        <f>IF(ISNA(VLOOKUP($A114,'10 km'!$B$2:$B$50,1,FALSE)),0,VLOOKUP($A114,'10 km'!$B$2:$D$50,3,FALSE))</f>
        <v>0</v>
      </c>
      <c r="M114" s="62">
        <f>IF(ISNA(VLOOKUP($A114,'Peter Moor 2000m'!$C$2:$C$30,1,FALSE)),0,VLOOKUP($A114,'Peter Moor 2000m'!$C$2:$I$30,7,FALSE))</f>
        <v>0</v>
      </c>
      <c r="N114" s="62">
        <f>IF(ISNA(VLOOKUP($A114,'Max Howard Tan handicap'!$C$2:$C$23,1,FALSE)),0,VLOOKUP($A114,'Max Howard Tan handicap'!$C$2:$I$23,7,FALSE))</f>
        <v>0</v>
      </c>
      <c r="O114" s="88">
        <f>IF(ISNA(VLOOKUP($A114,parkrun!$B$2:$H$145,1,FALSE)),0,VLOOKUP($A114,parkrun!$B$2:$H$145,7,FALSE))</f>
        <v>54.17</v>
      </c>
      <c r="P114" s="133">
        <f>SUM(F114:O114)</f>
        <v>54.17</v>
      </c>
      <c r="Q114" s="134">
        <f>COUNTIF(F114:O114,"&gt;0")</f>
        <v>1</v>
      </c>
      <c r="R114" s="215">
        <f>SMALL(F114:O114,1)+SMALL(F114:O114,2)</f>
        <v>0</v>
      </c>
      <c r="S114" s="215">
        <f>IF(Q114=1,P114,P114-R114)</f>
        <v>54.17</v>
      </c>
      <c r="T114" s="216">
        <f>RANK(P114,$P$5:$P$230,0)</f>
        <v>110</v>
      </c>
      <c r="U114" s="26">
        <f>RANK(S114,$S$5:$S$230,0)</f>
        <v>110</v>
      </c>
      <c r="W114" s="113">
        <v>27353</v>
      </c>
      <c r="Y114" s="45"/>
      <c r="AD114" s="45"/>
    </row>
    <row r="115" spans="1:30" x14ac:dyDescent="0.2">
      <c r="A115" s="46" t="s">
        <v>198</v>
      </c>
      <c r="B115" s="81">
        <v>202</v>
      </c>
      <c r="C115" s="81" t="s">
        <v>233</v>
      </c>
      <c r="D115" s="146">
        <v>26441</v>
      </c>
      <c r="E115" s="81" t="s">
        <v>214</v>
      </c>
      <c r="F115" s="61">
        <f>IF(ISNA(VLOOKUP($A115,'2 Bridges Relay'!$F$2:$F$67,1,FALSE)),0,VLOOKUP($A115,'2 Bridges Relay'!$F$2:$J$67,5,FALSE))</f>
        <v>0</v>
      </c>
      <c r="G115" s="88">
        <f>IF(ISNA(VLOOKUP($A115,'5M''s'!$D$2:$E$27,1,FALSE)),0,VLOOKUP($A115,'5M''s'!$D$2:$E$27,2,FALSE))</f>
        <v>0</v>
      </c>
      <c r="H115" s="62">
        <f>IF(ISNA(VLOOKUP($A115,'Mile handicap'!$C$2:$C$51,1,FALSE)),0,VLOOKUP($A115,'Mile handicap'!$C$2:$K$51,9,FALSE))</f>
        <v>0</v>
      </c>
      <c r="I115" s="62">
        <f>IF(ISNA(VLOOKUP($A115,'5000m handicap'!$C$2:$C$46,1,FALSE)),0,VLOOKUP($A115,'5000m handicap'!$C$2:$K$46,9,FALSE))</f>
        <v>0</v>
      </c>
      <c r="J115" s="62">
        <f>IF(ISNA(VLOOKUP($A115,'KL handicap'!$C$2:$C$37,1,FALSE)),0,VLOOKUP($A115,'KL handicap'!$C$2:$I$37,7,FALSE))</f>
        <v>0</v>
      </c>
      <c r="K115" s="62">
        <f>IF(ISNA(VLOOKUP($A115,'3000m handicap'!$C$2:$C$47,1,FALSE)),0,VLOOKUP($A115,'3000m handicap'!$C$2:$K$47,9,FALSE))</f>
        <v>0</v>
      </c>
      <c r="L115" s="62">
        <f>IF(ISNA(VLOOKUP($A115,'10 km'!$B$2:$B$50,1,FALSE)),0,VLOOKUP($A115,'10 km'!$B$2:$D$50,3,FALSE))</f>
        <v>0</v>
      </c>
      <c r="M115" s="62">
        <f>IF(ISNA(VLOOKUP($A115,'Peter Moor 2000m'!$C$2:$C$30,1,FALSE)),0,VLOOKUP($A115,'Peter Moor 2000m'!$C$2:$I$30,7,FALSE))</f>
        <v>0</v>
      </c>
      <c r="N115" s="62">
        <f>IF(ISNA(VLOOKUP($A115,'Max Howard Tan handicap'!$C$2:$C$23,1,FALSE)),0,VLOOKUP($A115,'Max Howard Tan handicap'!$C$2:$I$23,7,FALSE))</f>
        <v>0</v>
      </c>
      <c r="O115" s="88">
        <f>IF(ISNA(VLOOKUP($A115,parkrun!$B$2:$H$145,1,FALSE)),0,VLOOKUP($A115,parkrun!$B$2:$H$145,7,FALSE))</f>
        <v>52.08</v>
      </c>
      <c r="P115" s="133">
        <f>SUM(F115:O115)</f>
        <v>52.08</v>
      </c>
      <c r="Q115" s="134">
        <f>COUNTIF(F115:O115,"&gt;0")</f>
        <v>1</v>
      </c>
      <c r="R115" s="215">
        <f>SMALL(F115:O115,1)+SMALL(F115:O115,2)</f>
        <v>0</v>
      </c>
      <c r="S115" s="215">
        <f>IF(Q115=1,P115,P115-R115)</f>
        <v>52.08</v>
      </c>
      <c r="T115" s="216">
        <f>RANK(P115,$P$5:$P$230,0)</f>
        <v>111</v>
      </c>
      <c r="U115" s="26">
        <f>RANK(S115,$S$5:$S$230,0)</f>
        <v>111</v>
      </c>
      <c r="W115" s="113">
        <v>28958</v>
      </c>
      <c r="Y115" s="45"/>
      <c r="AD115" s="45"/>
    </row>
    <row r="116" spans="1:30" x14ac:dyDescent="0.2">
      <c r="A116" s="46" t="s">
        <v>264</v>
      </c>
      <c r="B116" s="81">
        <v>80</v>
      </c>
      <c r="C116" s="81" t="s">
        <v>233</v>
      </c>
      <c r="D116" s="146">
        <v>23122</v>
      </c>
      <c r="E116" s="81" t="s">
        <v>196</v>
      </c>
      <c r="F116" s="61">
        <f>IF(ISNA(VLOOKUP($A116,'2 Bridges Relay'!$F$2:$F$67,1,FALSE)),0,VLOOKUP($A116,'2 Bridges Relay'!$F$2:$J$67,5,FALSE))</f>
        <v>0</v>
      </c>
      <c r="G116" s="88">
        <f>IF(ISNA(VLOOKUP($A116,'5M''s'!$D$2:$E$27,1,FALSE)),0,VLOOKUP($A116,'5M''s'!$D$2:$E$27,2,FALSE))</f>
        <v>0</v>
      </c>
      <c r="H116" s="62">
        <f>IF(ISNA(VLOOKUP($A116,'Mile handicap'!$C$2:$C$51,1,FALSE)),0,VLOOKUP($A116,'Mile handicap'!$C$2:$K$51,9,FALSE))</f>
        <v>0</v>
      </c>
      <c r="I116" s="62">
        <f>IF(ISNA(VLOOKUP($A116,'5000m handicap'!$C$2:$C$46,1,FALSE)),0,VLOOKUP($A116,'5000m handicap'!$C$2:$K$46,9,FALSE))</f>
        <v>0</v>
      </c>
      <c r="J116" s="62">
        <f>IF(ISNA(VLOOKUP($A116,'KL handicap'!$C$2:$C$37,1,FALSE)),0,VLOOKUP($A116,'KL handicap'!$C$2:$I$37,7,FALSE))</f>
        <v>0</v>
      </c>
      <c r="K116" s="62">
        <f>IF(ISNA(VLOOKUP($A116,'3000m handicap'!$C$2:$C$47,1,FALSE)),0,VLOOKUP($A116,'3000m handicap'!$C$2:$K$47,9,FALSE))</f>
        <v>0</v>
      </c>
      <c r="L116" s="62">
        <f>IF(ISNA(VLOOKUP($A116,'10 km'!$B$2:$B$50,1,FALSE)),0,VLOOKUP($A116,'10 km'!$B$2:$D$50,3,FALSE))</f>
        <v>51.02</v>
      </c>
      <c r="M116" s="62">
        <f>IF(ISNA(VLOOKUP($A116,'Peter Moor 2000m'!$C$2:$C$30,1,FALSE)),0,VLOOKUP($A116,'Peter Moor 2000m'!$C$2:$I$30,7,FALSE))</f>
        <v>0</v>
      </c>
      <c r="N116" s="62">
        <f>IF(ISNA(VLOOKUP($A116,'Max Howard Tan handicap'!$C$2:$C$23,1,FALSE)),0,VLOOKUP($A116,'Max Howard Tan handicap'!$C$2:$I$23,7,FALSE))</f>
        <v>0</v>
      </c>
      <c r="O116" s="88">
        <f>IF(ISNA(VLOOKUP($A116,parkrun!$B$2:$H$145,1,FALSE)),0,VLOOKUP($A116,parkrun!$B$2:$H$145,7,FALSE))</f>
        <v>0</v>
      </c>
      <c r="P116" s="133">
        <f>SUM(F116:O116)</f>
        <v>51.02</v>
      </c>
      <c r="Q116" s="134">
        <f>COUNTIF(F116:O116,"&gt;0")</f>
        <v>1</v>
      </c>
      <c r="R116" s="215">
        <f>SMALL(F116:O116,1)+SMALL(F116:O116,2)</f>
        <v>0</v>
      </c>
      <c r="S116" s="215">
        <f>IF(Q116=1,P116,P116-R116)</f>
        <v>51.02</v>
      </c>
      <c r="T116" s="216">
        <f>RANK(P116,$P$5:$P$230,0)</f>
        <v>112</v>
      </c>
      <c r="U116" s="26">
        <f>RANK(S116,$S$5:$S$230,0)</f>
        <v>112</v>
      </c>
      <c r="W116" s="113">
        <v>24540</v>
      </c>
      <c r="Y116" s="45"/>
      <c r="AD116" s="45"/>
    </row>
    <row r="117" spans="1:30" x14ac:dyDescent="0.2">
      <c r="A117" s="46" t="s">
        <v>181</v>
      </c>
      <c r="B117" s="81">
        <v>195</v>
      </c>
      <c r="C117" s="81" t="s">
        <v>233</v>
      </c>
      <c r="D117" s="146">
        <v>28558</v>
      </c>
      <c r="E117" s="81" t="s">
        <v>214</v>
      </c>
      <c r="F117" s="61">
        <f>IF(ISNA(VLOOKUP($A117,'2 Bridges Relay'!$F$2:$F$67,1,FALSE)),0,VLOOKUP($A117,'2 Bridges Relay'!$F$2:$J$67,5,FALSE))</f>
        <v>0</v>
      </c>
      <c r="G117" s="88">
        <f>IF(ISNA(VLOOKUP($A117,'5M''s'!$D$2:$E$27,1,FALSE)),0,VLOOKUP($A117,'5M''s'!$D$2:$E$27,2,FALSE))</f>
        <v>0</v>
      </c>
      <c r="H117" s="62">
        <f>IF(ISNA(VLOOKUP($A117,'Mile handicap'!$C$2:$C$51,1,FALSE)),0,VLOOKUP($A117,'Mile handicap'!$C$2:$K$51,9,FALSE))</f>
        <v>0</v>
      </c>
      <c r="I117" s="62">
        <f>IF(ISNA(VLOOKUP($A117,'5000m handicap'!$C$2:$C$46,1,FALSE)),0,VLOOKUP($A117,'5000m handicap'!$C$2:$K$46,9,FALSE))</f>
        <v>0</v>
      </c>
      <c r="J117" s="62">
        <f>IF(ISNA(VLOOKUP($A117,'KL handicap'!$C$2:$C$37,1,FALSE)),0,VLOOKUP($A117,'KL handicap'!$C$2:$I$37,7,FALSE))</f>
        <v>0</v>
      </c>
      <c r="K117" s="62">
        <f>IF(ISNA(VLOOKUP($A117,'3000m handicap'!$C$2:$C$47,1,FALSE)),0,VLOOKUP($A117,'3000m handicap'!$C$2:$K$47,9,FALSE))</f>
        <v>0</v>
      </c>
      <c r="L117" s="62">
        <f>IF(ISNA(VLOOKUP($A117,'10 km'!$B$2:$B$50,1,FALSE)),0,VLOOKUP($A117,'10 km'!$B$2:$D$50,3,FALSE))</f>
        <v>0</v>
      </c>
      <c r="M117" s="62">
        <f>IF(ISNA(VLOOKUP($A117,'Peter Moor 2000m'!$C$2:$C$30,1,FALSE)),0,VLOOKUP($A117,'Peter Moor 2000m'!$C$2:$I$30,7,FALSE))</f>
        <v>0</v>
      </c>
      <c r="N117" s="62">
        <f>IF(ISNA(VLOOKUP($A117,'Max Howard Tan handicap'!$C$2:$C$23,1,FALSE)),0,VLOOKUP($A117,'Max Howard Tan handicap'!$C$2:$I$23,7,FALSE))</f>
        <v>0</v>
      </c>
      <c r="O117" s="88">
        <f>IF(ISNA(VLOOKUP($A117,parkrun!$B$2:$H$145,1,FALSE)),0,VLOOKUP($A117,parkrun!$B$2:$H$145,7,FALSE))</f>
        <v>50</v>
      </c>
      <c r="P117" s="133">
        <f>SUM(F117:O117)</f>
        <v>50</v>
      </c>
      <c r="Q117" s="134">
        <f>COUNTIF(F117:O117,"&gt;0")</f>
        <v>1</v>
      </c>
      <c r="R117" s="215">
        <f>SMALL(F117:O117,1)+SMALL(F117:O117,2)</f>
        <v>0</v>
      </c>
      <c r="S117" s="215">
        <f>IF(Q117=1,P117,P117-R117)</f>
        <v>50</v>
      </c>
      <c r="T117" s="216">
        <f>RANK(P117,$P$5:$P$230,0)</f>
        <v>113</v>
      </c>
      <c r="U117" s="26">
        <f>RANK(S117,$S$5:$S$230,0)</f>
        <v>113</v>
      </c>
      <c r="W117" s="113">
        <v>25986</v>
      </c>
      <c r="Y117" s="45"/>
      <c r="AD117" s="45"/>
    </row>
    <row r="118" spans="1:30" x14ac:dyDescent="0.2">
      <c r="A118" s="46" t="s">
        <v>103</v>
      </c>
      <c r="B118" s="81">
        <v>40</v>
      </c>
      <c r="C118" s="81" t="s">
        <v>233</v>
      </c>
      <c r="D118" s="146">
        <v>23372</v>
      </c>
      <c r="E118" s="81" t="s">
        <v>196</v>
      </c>
      <c r="F118" s="61">
        <f>IF(ISNA(VLOOKUP($A118,'2 Bridges Relay'!$F$2:$F$67,1,FALSE)),0,VLOOKUP($A118,'2 Bridges Relay'!$F$2:$J$67,5,FALSE))</f>
        <v>0</v>
      </c>
      <c r="G118" s="88">
        <f>IF(ISNA(VLOOKUP($A118,'5M''s'!$D$2:$E$27,1,FALSE)),0,VLOOKUP($A118,'5M''s'!$D$2:$E$27,2,FALSE))</f>
        <v>0</v>
      </c>
      <c r="H118" s="62">
        <f>IF(ISNA(VLOOKUP($A118,'Mile handicap'!$C$2:$C$51,1,FALSE)),0,VLOOKUP($A118,'Mile handicap'!$C$2:$K$51,9,FALSE))</f>
        <v>0</v>
      </c>
      <c r="I118" s="62">
        <f>IF(ISNA(VLOOKUP($A118,'5000m handicap'!$C$2:$C$46,1,FALSE)),0,VLOOKUP($A118,'5000m handicap'!$C$2:$K$46,9,FALSE))</f>
        <v>0</v>
      </c>
      <c r="J118" s="62">
        <f>IF(ISNA(VLOOKUP($A118,'KL handicap'!$C$2:$C$37,1,FALSE)),0,VLOOKUP($A118,'KL handicap'!$C$2:$I$37,7,FALSE))</f>
        <v>0</v>
      </c>
      <c r="K118" s="62">
        <f>IF(ISNA(VLOOKUP($A118,'3000m handicap'!$C$2:$C$47,1,FALSE)),0,VLOOKUP($A118,'3000m handicap'!$C$2:$K$47,9,FALSE))</f>
        <v>0</v>
      </c>
      <c r="L118" s="62">
        <f>IF(ISNA(VLOOKUP($A118,'10 km'!$B$2:$B$50,1,FALSE)),0,VLOOKUP($A118,'10 km'!$B$2:$D$50,3,FALSE))</f>
        <v>0</v>
      </c>
      <c r="M118" s="62">
        <f>IF(ISNA(VLOOKUP($A118,'Peter Moor 2000m'!$C$2:$C$30,1,FALSE)),0,VLOOKUP($A118,'Peter Moor 2000m'!$C$2:$I$30,7,FALSE))</f>
        <v>0</v>
      </c>
      <c r="N118" s="62">
        <f>IF(ISNA(VLOOKUP($A118,'Max Howard Tan handicap'!$C$2:$C$23,1,FALSE)),0,VLOOKUP($A118,'Max Howard Tan handicap'!$C$2:$I$23,7,FALSE))</f>
        <v>50</v>
      </c>
      <c r="O118" s="88">
        <f>IF(ISNA(VLOOKUP($A118,parkrun!$B$2:$H$145,1,FALSE)),0,VLOOKUP($A118,parkrun!$B$2:$H$145,7,FALSE))</f>
        <v>0</v>
      </c>
      <c r="P118" s="133">
        <f>SUM(F118:O118)</f>
        <v>50</v>
      </c>
      <c r="Q118" s="134">
        <f>COUNTIF(F118:O118,"&gt;0")</f>
        <v>1</v>
      </c>
      <c r="R118" s="215">
        <f>SMALL(F118:O118,1)+SMALL(F118:O118,2)</f>
        <v>0</v>
      </c>
      <c r="S118" s="215">
        <f>IF(Q118=1,P118,P118-R118)</f>
        <v>50</v>
      </c>
      <c r="T118" s="216">
        <f>RANK(P118,$P$5:$P$230,0)</f>
        <v>113</v>
      </c>
      <c r="U118" s="26">
        <f>RANK(S118,$S$5:$S$230,0)</f>
        <v>113</v>
      </c>
      <c r="W118" s="113">
        <v>26736</v>
      </c>
      <c r="Y118" s="45"/>
      <c r="AD118" s="45"/>
    </row>
    <row r="119" spans="1:30" x14ac:dyDescent="0.2">
      <c r="A119" s="46" t="s">
        <v>400</v>
      </c>
      <c r="B119" s="81">
        <v>217</v>
      </c>
      <c r="C119" s="81" t="s">
        <v>233</v>
      </c>
      <c r="D119" s="146">
        <v>23431</v>
      </c>
      <c r="E119" s="81" t="s">
        <v>196</v>
      </c>
      <c r="F119" s="61">
        <f>IF(ISNA(VLOOKUP($A119,'2 Bridges Relay'!$F$2:$F$67,1,FALSE)),0,VLOOKUP($A119,'2 Bridges Relay'!$F$2:$J$67,5,FALSE))</f>
        <v>0</v>
      </c>
      <c r="G119" s="88">
        <f>IF(ISNA(VLOOKUP($A119,'5M''s'!$D$2:$E$27,1,FALSE)),0,VLOOKUP($A119,'5M''s'!$D$2:$E$27,2,FALSE))</f>
        <v>0</v>
      </c>
      <c r="H119" s="62">
        <f>IF(ISNA(VLOOKUP($A119,'Mile handicap'!$C$2:$C$51,1,FALSE)),0,VLOOKUP($A119,'Mile handicap'!$C$2:$K$51,9,FALSE))</f>
        <v>0</v>
      </c>
      <c r="I119" s="62">
        <f>IF(ISNA(VLOOKUP($A119,'5000m handicap'!$C$2:$C$46,1,FALSE)),0,VLOOKUP($A119,'5000m handicap'!$C$2:$K$46,9,FALSE))</f>
        <v>0</v>
      </c>
      <c r="J119" s="62">
        <f>IF(ISNA(VLOOKUP($A119,'KL handicap'!$C$2:$C$37,1,FALSE)),0,VLOOKUP($A119,'KL handicap'!$C$2:$I$37,7,FALSE))</f>
        <v>0</v>
      </c>
      <c r="K119" s="62">
        <f>IF(ISNA(VLOOKUP($A119,'3000m handicap'!$C$2:$C$47,1,FALSE)),0,VLOOKUP($A119,'3000m handicap'!$C$2:$K$47,9,FALSE))</f>
        <v>0</v>
      </c>
      <c r="L119" s="62">
        <f>IF(ISNA(VLOOKUP($A119,'10 km'!$B$2:$B$50,1,FALSE)),0,VLOOKUP($A119,'10 km'!$B$2:$D$50,3,FALSE))</f>
        <v>0</v>
      </c>
      <c r="M119" s="62">
        <f>IF(ISNA(VLOOKUP($A119,'Peter Moor 2000m'!$C$2:$C$30,1,FALSE)),0,VLOOKUP($A119,'Peter Moor 2000m'!$C$2:$I$30,7,FALSE))</f>
        <v>0</v>
      </c>
      <c r="N119" s="62">
        <f>IF(ISNA(VLOOKUP($A119,'Max Howard Tan handicap'!$C$2:$C$23,1,FALSE)),0,VLOOKUP($A119,'Max Howard Tan handicap'!$C$2:$I$23,7,FALSE))</f>
        <v>0</v>
      </c>
      <c r="O119" s="88">
        <f>IF(ISNA(VLOOKUP($A119,parkrun!$B$2:$H$145,1,FALSE)),0,VLOOKUP($A119,parkrun!$B$2:$H$145,7,FALSE))</f>
        <v>49.31</v>
      </c>
      <c r="P119" s="133">
        <f>SUM(F119:O119)</f>
        <v>49.31</v>
      </c>
      <c r="Q119" s="134">
        <f>COUNTIF(F119:O119,"&gt;0")</f>
        <v>1</v>
      </c>
      <c r="R119" s="215">
        <f>SMALL(F119:O119,1)+SMALL(F119:O119,2)</f>
        <v>0</v>
      </c>
      <c r="S119" s="215">
        <f>IF(Q119=1,P119,P119-R119)</f>
        <v>49.31</v>
      </c>
      <c r="T119" s="216">
        <f>RANK(P119,$P$5:$P$230,0)</f>
        <v>115</v>
      </c>
      <c r="U119" s="26">
        <f>RANK(S119,$S$5:$S$230,0)</f>
        <v>115</v>
      </c>
      <c r="W119" s="113">
        <v>28057</v>
      </c>
      <c r="Y119" s="45"/>
      <c r="AD119" s="45"/>
    </row>
    <row r="120" spans="1:30" x14ac:dyDescent="0.2">
      <c r="A120" s="46" t="s">
        <v>155</v>
      </c>
      <c r="B120" s="81">
        <v>169</v>
      </c>
      <c r="C120" s="81" t="s">
        <v>233</v>
      </c>
      <c r="D120" s="146">
        <v>29941</v>
      </c>
      <c r="E120" s="81" t="s">
        <v>214</v>
      </c>
      <c r="F120" s="61">
        <f>IF(ISNA(VLOOKUP($A120,'2 Bridges Relay'!$F$2:$F$67,1,FALSE)),0,VLOOKUP($A120,'2 Bridges Relay'!$F$2:$J$67,5,FALSE))</f>
        <v>0</v>
      </c>
      <c r="G120" s="88">
        <f>IF(ISNA(VLOOKUP($A120,'5M''s'!$D$2:$E$27,1,FALSE)),0,VLOOKUP($A120,'5M''s'!$D$2:$E$27,2,FALSE))</f>
        <v>0</v>
      </c>
      <c r="H120" s="62">
        <f>IF(ISNA(VLOOKUP($A120,'Mile handicap'!$C$2:$C$51,1,FALSE)),0,VLOOKUP($A120,'Mile handicap'!$C$2:$K$51,9,FALSE))</f>
        <v>0</v>
      </c>
      <c r="I120" s="62">
        <f>IF(ISNA(VLOOKUP($A120,'5000m handicap'!$C$2:$C$46,1,FALSE)),0,VLOOKUP($A120,'5000m handicap'!$C$2:$K$46,9,FALSE))</f>
        <v>0</v>
      </c>
      <c r="J120" s="62">
        <f>IF(ISNA(VLOOKUP($A120,'KL handicap'!$C$2:$C$37,1,FALSE)),0,VLOOKUP($A120,'KL handicap'!$C$2:$I$37,7,FALSE))</f>
        <v>0</v>
      </c>
      <c r="K120" s="62">
        <f>IF(ISNA(VLOOKUP($A120,'3000m handicap'!$C$2:$C$47,1,FALSE)),0,VLOOKUP($A120,'3000m handicap'!$C$2:$K$47,9,FALSE))</f>
        <v>0</v>
      </c>
      <c r="L120" s="62">
        <f>IF(ISNA(VLOOKUP($A120,'10 km'!$B$2:$B$50,1,FALSE)),0,VLOOKUP($A120,'10 km'!$B$2:$D$50,3,FALSE))</f>
        <v>0</v>
      </c>
      <c r="M120" s="62">
        <f>IF(ISNA(VLOOKUP($A120,'Peter Moor 2000m'!$C$2:$C$30,1,FALSE)),0,VLOOKUP($A120,'Peter Moor 2000m'!$C$2:$I$30,7,FALSE))</f>
        <v>0</v>
      </c>
      <c r="N120" s="62">
        <f>IF(ISNA(VLOOKUP($A120,'Max Howard Tan handicap'!$C$2:$C$23,1,FALSE)),0,VLOOKUP($A120,'Max Howard Tan handicap'!$C$2:$I$23,7,FALSE))</f>
        <v>0</v>
      </c>
      <c r="O120" s="88">
        <f>IF(ISNA(VLOOKUP($A120,parkrun!$B$2:$H$145,1,FALSE)),0,VLOOKUP($A120,parkrun!$B$2:$H$145,7,FALSE))</f>
        <v>47.22</v>
      </c>
      <c r="P120" s="133">
        <f>SUM(F120:O120)</f>
        <v>47.22</v>
      </c>
      <c r="Q120" s="134">
        <f>COUNTIF(F120:O120,"&gt;0")</f>
        <v>1</v>
      </c>
      <c r="R120" s="215">
        <f>SMALL(F120:O120,1)+SMALL(F120:O120,2)</f>
        <v>0</v>
      </c>
      <c r="S120" s="215">
        <f>IF(Q120=1,P120,P120-R120)</f>
        <v>47.22</v>
      </c>
      <c r="T120" s="216">
        <f>RANK(P120,$P$5:$P$230,0)</f>
        <v>116</v>
      </c>
      <c r="U120" s="26">
        <f>RANK(S120,$S$5:$S$230,0)</f>
        <v>116</v>
      </c>
      <c r="W120" s="113">
        <v>23318</v>
      </c>
      <c r="Y120" s="45"/>
      <c r="AD120" s="45"/>
    </row>
    <row r="121" spans="1:30" x14ac:dyDescent="0.2">
      <c r="A121" s="46" t="s">
        <v>435</v>
      </c>
      <c r="B121" s="81">
        <v>316</v>
      </c>
      <c r="C121" s="81" t="s">
        <v>233</v>
      </c>
      <c r="D121" s="146">
        <v>30396</v>
      </c>
      <c r="E121" s="81" t="s">
        <v>214</v>
      </c>
      <c r="F121" s="61">
        <f>IF(ISNA(VLOOKUP($A121,'2 Bridges Relay'!$F$2:$F$67,1,FALSE)),0,VLOOKUP($A121,'2 Bridges Relay'!$F$2:$J$67,5,FALSE))</f>
        <v>0</v>
      </c>
      <c r="G121" s="88">
        <f>IF(ISNA(VLOOKUP($A121,'5M''s'!$D$2:$E$27,1,FALSE)),0,VLOOKUP($A121,'5M''s'!$D$2:$E$27,2,FALSE))</f>
        <v>0</v>
      </c>
      <c r="H121" s="62">
        <f>IF(ISNA(VLOOKUP($A121,'Mile handicap'!$C$2:$C$51,1,FALSE)),0,VLOOKUP($A121,'Mile handicap'!$C$2:$K$51,9,FALSE))</f>
        <v>0</v>
      </c>
      <c r="I121" s="62">
        <f>IF(ISNA(VLOOKUP($A121,'5000m handicap'!$C$2:$C$46,1,FALSE)),0,VLOOKUP($A121,'5000m handicap'!$C$2:$K$46,9,FALSE))</f>
        <v>0</v>
      </c>
      <c r="J121" s="62">
        <f>IF(ISNA(VLOOKUP($A121,'KL handicap'!$C$2:$C$37,1,FALSE)),0,VLOOKUP($A121,'KL handicap'!$C$2:$I$37,7,FALSE))</f>
        <v>46.43</v>
      </c>
      <c r="K121" s="62">
        <f>IF(ISNA(VLOOKUP($A121,'3000m handicap'!$C$2:$C$47,1,FALSE)),0,VLOOKUP($A121,'3000m handicap'!$C$2:$K$47,9,FALSE))</f>
        <v>0</v>
      </c>
      <c r="L121" s="62">
        <f>IF(ISNA(VLOOKUP($A121,'10 km'!$B$2:$B$50,1,FALSE)),0,VLOOKUP($A121,'10 km'!$B$2:$D$50,3,FALSE))</f>
        <v>0</v>
      </c>
      <c r="M121" s="62">
        <f>IF(ISNA(VLOOKUP($A121,'Peter Moor 2000m'!$C$2:$C$30,1,FALSE)),0,VLOOKUP($A121,'Peter Moor 2000m'!$C$2:$I$30,7,FALSE))</f>
        <v>0</v>
      </c>
      <c r="N121" s="62">
        <f>IF(ISNA(VLOOKUP($A121,'Max Howard Tan handicap'!$C$2:$C$23,1,FALSE)),0,VLOOKUP($A121,'Max Howard Tan handicap'!$C$2:$I$23,7,FALSE))</f>
        <v>0</v>
      </c>
      <c r="O121" s="88">
        <f>IF(ISNA(VLOOKUP($A121,parkrun!$B$2:$H$145,1,FALSE)),0,VLOOKUP($A121,parkrun!$B$2:$H$145,7,FALSE))</f>
        <v>0</v>
      </c>
      <c r="P121" s="133">
        <f>SUM(F121:O121)</f>
        <v>46.43</v>
      </c>
      <c r="Q121" s="134">
        <f>COUNTIF(F121:O121,"&gt;0")</f>
        <v>1</v>
      </c>
      <c r="R121" s="215">
        <f>SMALL(F121:O121,1)+SMALL(F121:O121,2)</f>
        <v>0</v>
      </c>
      <c r="S121" s="215">
        <f>IF(Q121=1,P121,P121-R121)</f>
        <v>46.43</v>
      </c>
      <c r="T121" s="216">
        <f>RANK(P121,$P$5:$P$230,0)</f>
        <v>117</v>
      </c>
      <c r="U121" s="26">
        <f>RANK(S121,$S$5:$S$230,0)</f>
        <v>117</v>
      </c>
      <c r="W121" s="113">
        <v>26227</v>
      </c>
      <c r="Y121" s="45"/>
      <c r="AD121" s="45"/>
    </row>
    <row r="122" spans="1:30" x14ac:dyDescent="0.2">
      <c r="A122" s="46" t="s">
        <v>113</v>
      </c>
      <c r="B122" s="81">
        <v>138</v>
      </c>
      <c r="C122" s="81" t="s">
        <v>233</v>
      </c>
      <c r="D122" s="146">
        <v>29280</v>
      </c>
      <c r="E122" s="81" t="s">
        <v>214</v>
      </c>
      <c r="F122" s="61">
        <f>IF(ISNA(VLOOKUP($A122,'2 Bridges Relay'!$F$2:$F$67,1,FALSE)),0,VLOOKUP($A122,'2 Bridges Relay'!$F$2:$J$67,5,FALSE))</f>
        <v>0</v>
      </c>
      <c r="G122" s="88">
        <f>IF(ISNA(VLOOKUP($A122,'5M''s'!$D$2:$E$27,1,FALSE)),0,VLOOKUP($A122,'5M''s'!$D$2:$E$27,2,FALSE))</f>
        <v>0</v>
      </c>
      <c r="H122" s="62">
        <f>IF(ISNA(VLOOKUP($A122,'Mile handicap'!$C$2:$C$51,1,FALSE)),0,VLOOKUP($A122,'Mile handicap'!$C$2:$K$51,9,FALSE))</f>
        <v>0</v>
      </c>
      <c r="I122" s="62">
        <f>IF(ISNA(VLOOKUP($A122,'5000m handicap'!$C$2:$C$46,1,FALSE)),0,VLOOKUP($A122,'5000m handicap'!$C$2:$K$46,9,FALSE))</f>
        <v>0</v>
      </c>
      <c r="J122" s="62">
        <f>IF(ISNA(VLOOKUP($A122,'KL handicap'!$C$2:$C$37,1,FALSE)),0,VLOOKUP($A122,'KL handicap'!$C$2:$I$37,7,FALSE))</f>
        <v>0</v>
      </c>
      <c r="K122" s="62">
        <f>IF(ISNA(VLOOKUP($A122,'3000m handicap'!$C$2:$C$47,1,FALSE)),0,VLOOKUP($A122,'3000m handicap'!$C$2:$K$47,9,FALSE))</f>
        <v>0</v>
      </c>
      <c r="L122" s="62">
        <f>IF(ISNA(VLOOKUP($A122,'10 km'!$B$2:$B$50,1,FALSE)),0,VLOOKUP($A122,'10 km'!$B$2:$D$50,3,FALSE))</f>
        <v>0</v>
      </c>
      <c r="M122" s="62">
        <f>IF(ISNA(VLOOKUP($A122,'Peter Moor 2000m'!$C$2:$C$30,1,FALSE)),0,VLOOKUP($A122,'Peter Moor 2000m'!$C$2:$I$30,7,FALSE))</f>
        <v>0</v>
      </c>
      <c r="N122" s="62">
        <f>IF(ISNA(VLOOKUP($A122,'Max Howard Tan handicap'!$C$2:$C$23,1,FALSE)),0,VLOOKUP($A122,'Max Howard Tan handicap'!$C$2:$I$23,7,FALSE))</f>
        <v>0</v>
      </c>
      <c r="O122" s="88">
        <f>IF(ISNA(VLOOKUP($A122,parkrun!$B$2:$H$145,1,FALSE)),0,VLOOKUP($A122,parkrun!$B$2:$H$145,7,FALSE))</f>
        <v>42.36</v>
      </c>
      <c r="P122" s="133">
        <f>SUM(F122:O122)</f>
        <v>42.36</v>
      </c>
      <c r="Q122" s="134">
        <f>COUNTIF(F122:O122,"&gt;0")</f>
        <v>1</v>
      </c>
      <c r="R122" s="215">
        <f>SMALL(F122:O122,1)+SMALL(F122:O122,2)</f>
        <v>0</v>
      </c>
      <c r="S122" s="215">
        <f>IF(Q122=1,P122,P122-R122)</f>
        <v>42.36</v>
      </c>
      <c r="T122" s="216">
        <f>RANK(P122,$P$5:$P$230,0)</f>
        <v>118</v>
      </c>
      <c r="U122" s="26">
        <f>RANK(S122,$S$5:$S$230,0)</f>
        <v>118</v>
      </c>
      <c r="W122" s="113">
        <v>25305</v>
      </c>
      <c r="Y122" s="45"/>
      <c r="AD122" s="45"/>
    </row>
    <row r="123" spans="1:30" x14ac:dyDescent="0.2">
      <c r="A123" s="46" t="s">
        <v>339</v>
      </c>
      <c r="B123" s="81">
        <v>274</v>
      </c>
      <c r="C123" s="81" t="s">
        <v>233</v>
      </c>
      <c r="D123" s="146">
        <v>23504</v>
      </c>
      <c r="E123" s="81" t="s">
        <v>196</v>
      </c>
      <c r="F123" s="61">
        <f>IF(ISNA(VLOOKUP($A123,'2 Bridges Relay'!$F$2:$F$67,1,FALSE)),0,VLOOKUP($A123,'2 Bridges Relay'!$F$2:$J$67,5,FALSE))</f>
        <v>0</v>
      </c>
      <c r="G123" s="88">
        <f>IF(ISNA(VLOOKUP($A123,'5M''s'!$D$2:$E$27,1,FALSE)),0,VLOOKUP($A123,'5M''s'!$D$2:$E$27,2,FALSE))</f>
        <v>0</v>
      </c>
      <c r="H123" s="62">
        <f>IF(ISNA(VLOOKUP($A123,'Mile handicap'!$C$2:$C$51,1,FALSE)),0,VLOOKUP($A123,'Mile handicap'!$C$2:$K$51,9,FALSE))</f>
        <v>0</v>
      </c>
      <c r="I123" s="62">
        <f>IF(ISNA(VLOOKUP($A123,'5000m handicap'!$C$2:$C$46,1,FALSE)),0,VLOOKUP($A123,'5000m handicap'!$C$2:$K$46,9,FALSE))</f>
        <v>0</v>
      </c>
      <c r="J123" s="62">
        <f>IF(ISNA(VLOOKUP($A123,'KL handicap'!$C$2:$C$37,1,FALSE)),0,VLOOKUP($A123,'KL handicap'!$C$2:$I$37,7,FALSE))</f>
        <v>0</v>
      </c>
      <c r="K123" s="62">
        <f>IF(ISNA(VLOOKUP($A123,'3000m handicap'!$C$2:$C$47,1,FALSE)),0,VLOOKUP($A123,'3000m handicap'!$C$2:$K$47,9,FALSE))</f>
        <v>0</v>
      </c>
      <c r="L123" s="62">
        <f>IF(ISNA(VLOOKUP($A123,'10 km'!$B$2:$B$50,1,FALSE)),0,VLOOKUP($A123,'10 km'!$B$2:$D$50,3,FALSE))</f>
        <v>0</v>
      </c>
      <c r="M123" s="62">
        <f>IF(ISNA(VLOOKUP($A123,'Peter Moor 2000m'!$C$2:$C$30,1,FALSE)),0,VLOOKUP($A123,'Peter Moor 2000m'!$C$2:$I$30,7,FALSE))</f>
        <v>0</v>
      </c>
      <c r="N123" s="62">
        <f>IF(ISNA(VLOOKUP($A123,'Max Howard Tan handicap'!$C$2:$C$23,1,FALSE)),0,VLOOKUP($A123,'Max Howard Tan handicap'!$C$2:$I$23,7,FALSE))</f>
        <v>0</v>
      </c>
      <c r="O123" s="88">
        <f>IF(ISNA(VLOOKUP($A123,parkrun!$B$2:$H$145,1,FALSE)),0,VLOOKUP($A123,parkrun!$B$2:$H$145,7,FALSE))</f>
        <v>40.28</v>
      </c>
      <c r="P123" s="133">
        <f>SUM(F123:O123)</f>
        <v>40.28</v>
      </c>
      <c r="Q123" s="134">
        <f>COUNTIF(F123:O123,"&gt;0")</f>
        <v>1</v>
      </c>
      <c r="R123" s="215">
        <f>SMALL(F123:O123,1)+SMALL(F123:O123,2)</f>
        <v>0</v>
      </c>
      <c r="S123" s="215">
        <f>IF(Q123=1,P123,P123-R123)</f>
        <v>40.28</v>
      </c>
      <c r="T123" s="216">
        <f>RANK(P123,$P$5:$P$230,0)</f>
        <v>119</v>
      </c>
      <c r="U123" s="26">
        <f>RANK(S123,$S$5:$S$230,0)</f>
        <v>119</v>
      </c>
      <c r="W123" s="113">
        <v>28935</v>
      </c>
      <c r="Y123" s="45"/>
      <c r="AD123" s="45"/>
    </row>
    <row r="124" spans="1:30" x14ac:dyDescent="0.2">
      <c r="A124" s="46" t="s">
        <v>268</v>
      </c>
      <c r="B124" s="81">
        <v>61</v>
      </c>
      <c r="C124" s="81" t="s">
        <v>233</v>
      </c>
      <c r="D124" s="146">
        <v>22574</v>
      </c>
      <c r="E124" s="81" t="s">
        <v>196</v>
      </c>
      <c r="F124" s="61">
        <f>IF(ISNA(VLOOKUP($A124,'2 Bridges Relay'!$F$2:$F$67,1,FALSE)),0,VLOOKUP($A124,'2 Bridges Relay'!$F$2:$J$67,5,FALSE))</f>
        <v>0</v>
      </c>
      <c r="G124" s="88">
        <f>IF(ISNA(VLOOKUP($A124,'5M''s'!$D$2:$E$27,1,FALSE)),0,VLOOKUP($A124,'5M''s'!$D$2:$E$27,2,FALSE))</f>
        <v>0</v>
      </c>
      <c r="H124" s="62">
        <f>IF(ISNA(VLOOKUP($A124,'Mile handicap'!$C$2:$C$51,1,FALSE)),0,VLOOKUP($A124,'Mile handicap'!$C$2:$K$51,9,FALSE))</f>
        <v>0</v>
      </c>
      <c r="I124" s="62">
        <f>IF(ISNA(VLOOKUP($A124,'5000m handicap'!$C$2:$C$46,1,FALSE)),0,VLOOKUP($A124,'5000m handicap'!$C$2:$K$46,9,FALSE))</f>
        <v>0</v>
      </c>
      <c r="J124" s="62">
        <f>IF(ISNA(VLOOKUP($A124,'KL handicap'!$C$2:$C$37,1,FALSE)),0,VLOOKUP($A124,'KL handicap'!$C$2:$I$37,7,FALSE))</f>
        <v>0</v>
      </c>
      <c r="K124" s="62">
        <f>IF(ISNA(VLOOKUP($A124,'3000m handicap'!$C$2:$C$47,1,FALSE)),0,VLOOKUP($A124,'3000m handicap'!$C$2:$K$47,9,FALSE))</f>
        <v>0</v>
      </c>
      <c r="L124" s="62">
        <f>IF(ISNA(VLOOKUP($A124,'10 km'!$B$2:$B$50,1,FALSE)),0,VLOOKUP($A124,'10 km'!$B$2:$D$50,3,FALSE))</f>
        <v>0</v>
      </c>
      <c r="M124" s="62">
        <f>IF(ISNA(VLOOKUP($A124,'Peter Moor 2000m'!$C$2:$C$30,1,FALSE)),0,VLOOKUP($A124,'Peter Moor 2000m'!$C$2:$I$30,7,FALSE))</f>
        <v>0</v>
      </c>
      <c r="N124" s="62">
        <f>IF(ISNA(VLOOKUP($A124,'Max Howard Tan handicap'!$C$2:$C$23,1,FALSE)),0,VLOOKUP($A124,'Max Howard Tan handicap'!$C$2:$I$23,7,FALSE))</f>
        <v>0</v>
      </c>
      <c r="O124" s="88">
        <f>IF(ISNA(VLOOKUP($A124,parkrun!$B$2:$H$145,1,FALSE)),0,VLOOKUP($A124,parkrun!$B$2:$H$145,7,FALSE))</f>
        <v>34.03</v>
      </c>
      <c r="P124" s="133">
        <f>SUM(F124:O124)</f>
        <v>34.03</v>
      </c>
      <c r="Q124" s="134">
        <f>COUNTIF(F124:O124,"&gt;0")</f>
        <v>1</v>
      </c>
      <c r="R124" s="215">
        <f>SMALL(F124:O124,1)+SMALL(F124:O124,2)</f>
        <v>0</v>
      </c>
      <c r="S124" s="215">
        <f>IF(Q124=1,P124,P124-R124)</f>
        <v>34.03</v>
      </c>
      <c r="T124" s="216">
        <f>RANK(P124,$P$5:$P$230,0)</f>
        <v>120</v>
      </c>
      <c r="U124" s="26">
        <f>RANK(S124,$S$5:$S$230,0)</f>
        <v>120</v>
      </c>
      <c r="W124" s="113">
        <v>24793</v>
      </c>
      <c r="Y124" s="45"/>
      <c r="AD124" s="45"/>
    </row>
    <row r="125" spans="1:30" x14ac:dyDescent="0.2">
      <c r="A125" s="46" t="s">
        <v>135</v>
      </c>
      <c r="B125" s="81">
        <v>145</v>
      </c>
      <c r="C125" s="81" t="s">
        <v>233</v>
      </c>
      <c r="D125" s="146">
        <v>24690</v>
      </c>
      <c r="E125" s="81" t="s">
        <v>196</v>
      </c>
      <c r="F125" s="61">
        <f>IF(ISNA(VLOOKUP($A125,'2 Bridges Relay'!$F$2:$F$67,1,FALSE)),0,VLOOKUP($A125,'2 Bridges Relay'!$F$2:$J$67,5,FALSE))</f>
        <v>0</v>
      </c>
      <c r="G125" s="88">
        <f>IF(ISNA(VLOOKUP($A125,'5M''s'!$D$2:$E$27,1,FALSE)),0,VLOOKUP($A125,'5M''s'!$D$2:$E$27,2,FALSE))</f>
        <v>0</v>
      </c>
      <c r="H125" s="62">
        <f>IF(ISNA(VLOOKUP($A125,'Mile handicap'!$C$2:$C$51,1,FALSE)),0,VLOOKUP($A125,'Mile handicap'!$C$2:$K$51,9,FALSE))</f>
        <v>0</v>
      </c>
      <c r="I125" s="62">
        <f>IF(ISNA(VLOOKUP($A125,'5000m handicap'!$C$2:$C$46,1,FALSE)),0,VLOOKUP($A125,'5000m handicap'!$C$2:$K$46,9,FALSE))</f>
        <v>0</v>
      </c>
      <c r="J125" s="62">
        <f>IF(ISNA(VLOOKUP($A125,'KL handicap'!$C$2:$C$37,1,FALSE)),0,VLOOKUP($A125,'KL handicap'!$C$2:$I$37,7,FALSE))</f>
        <v>0</v>
      </c>
      <c r="K125" s="62">
        <f>IF(ISNA(VLOOKUP($A125,'3000m handicap'!$C$2:$C$47,1,FALSE)),0,VLOOKUP($A125,'3000m handicap'!$C$2:$K$47,9,FALSE))</f>
        <v>0</v>
      </c>
      <c r="L125" s="62">
        <f>IF(ISNA(VLOOKUP($A125,'10 km'!$B$2:$B$50,1,FALSE)),0,VLOOKUP($A125,'10 km'!$B$2:$D$50,3,FALSE))</f>
        <v>0</v>
      </c>
      <c r="M125" s="62">
        <f>IF(ISNA(VLOOKUP($A125,'Peter Moor 2000m'!$C$2:$C$30,1,FALSE)),0,VLOOKUP($A125,'Peter Moor 2000m'!$C$2:$I$30,7,FALSE))</f>
        <v>0</v>
      </c>
      <c r="N125" s="62">
        <f>IF(ISNA(VLOOKUP($A125,'Max Howard Tan handicap'!$C$2:$C$23,1,FALSE)),0,VLOOKUP($A125,'Max Howard Tan handicap'!$C$2:$I$23,7,FALSE))</f>
        <v>0</v>
      </c>
      <c r="O125" s="88">
        <f>IF(ISNA(VLOOKUP($A125,parkrun!$B$2:$H$145,1,FALSE)),0,VLOOKUP($A125,parkrun!$B$2:$H$145,7,FALSE))</f>
        <v>31.25</v>
      </c>
      <c r="P125" s="133">
        <f>SUM(F125:O125)</f>
        <v>31.25</v>
      </c>
      <c r="Q125" s="134">
        <f>COUNTIF(F125:O125,"&gt;0")</f>
        <v>1</v>
      </c>
      <c r="R125" s="215">
        <f>SMALL(F125:O125,1)+SMALL(F125:O125,2)</f>
        <v>0</v>
      </c>
      <c r="S125" s="215">
        <f>IF(Q125=1,P125,P125-R125)</f>
        <v>31.25</v>
      </c>
      <c r="T125" s="216">
        <f>RANK(P125,$P$5:$P$230,0)</f>
        <v>121</v>
      </c>
      <c r="U125" s="26">
        <f>RANK(S125,$S$5:$S$230,0)</f>
        <v>121</v>
      </c>
      <c r="W125" s="113">
        <v>15822</v>
      </c>
      <c r="Y125" s="45"/>
      <c r="AD125" s="45"/>
    </row>
    <row r="126" spans="1:30" x14ac:dyDescent="0.2">
      <c r="A126" s="46" t="s">
        <v>168</v>
      </c>
      <c r="B126" s="81">
        <v>182</v>
      </c>
      <c r="C126" s="81" t="s">
        <v>233</v>
      </c>
      <c r="D126" s="146">
        <v>27800</v>
      </c>
      <c r="E126" s="81" t="s">
        <v>214</v>
      </c>
      <c r="F126" s="61">
        <f>IF(ISNA(VLOOKUP($A126,'2 Bridges Relay'!$F$2:$F$67,1,FALSE)),0,VLOOKUP($A126,'2 Bridges Relay'!$F$2:$J$67,5,FALSE))</f>
        <v>0</v>
      </c>
      <c r="G126" s="88">
        <f>IF(ISNA(VLOOKUP($A126,'5M''s'!$D$2:$E$27,1,FALSE)),0,VLOOKUP($A126,'5M''s'!$D$2:$E$27,2,FALSE))</f>
        <v>0</v>
      </c>
      <c r="H126" s="62">
        <f>IF(ISNA(VLOOKUP($A126,'Mile handicap'!$C$2:$C$51,1,FALSE)),0,VLOOKUP($A126,'Mile handicap'!$C$2:$K$51,9,FALSE))</f>
        <v>0</v>
      </c>
      <c r="I126" s="62">
        <f>IF(ISNA(VLOOKUP($A126,'5000m handicap'!$C$2:$C$46,1,FALSE)),0,VLOOKUP($A126,'5000m handicap'!$C$2:$K$46,9,FALSE))</f>
        <v>0</v>
      </c>
      <c r="J126" s="62">
        <f>IF(ISNA(VLOOKUP($A126,'KL handicap'!$C$2:$C$37,1,FALSE)),0,VLOOKUP($A126,'KL handicap'!$C$2:$I$37,7,FALSE))</f>
        <v>0</v>
      </c>
      <c r="K126" s="62">
        <f>IF(ISNA(VLOOKUP($A126,'3000m handicap'!$C$2:$C$47,1,FALSE)),0,VLOOKUP($A126,'3000m handicap'!$C$2:$K$47,9,FALSE))</f>
        <v>0</v>
      </c>
      <c r="L126" s="62">
        <f>IF(ISNA(VLOOKUP($A126,'10 km'!$B$2:$B$50,1,FALSE)),0,VLOOKUP($A126,'10 km'!$B$2:$D$50,3,FALSE))</f>
        <v>0</v>
      </c>
      <c r="M126" s="62">
        <f>IF(ISNA(VLOOKUP($A126,'Peter Moor 2000m'!$C$2:$C$30,1,FALSE)),0,VLOOKUP($A126,'Peter Moor 2000m'!$C$2:$I$30,7,FALSE))</f>
        <v>0</v>
      </c>
      <c r="N126" s="62">
        <f>IF(ISNA(VLOOKUP($A126,'Max Howard Tan handicap'!$C$2:$C$23,1,FALSE)),0,VLOOKUP($A126,'Max Howard Tan handicap'!$C$2:$I$23,7,FALSE))</f>
        <v>0</v>
      </c>
      <c r="O126" s="88">
        <f>IF(ISNA(VLOOKUP($A126,parkrun!$B$2:$H$145,1,FALSE)),0,VLOOKUP($A126,parkrun!$B$2:$H$145,7,FALSE))</f>
        <v>29.86</v>
      </c>
      <c r="P126" s="133">
        <f>SUM(F126:O126)</f>
        <v>29.86</v>
      </c>
      <c r="Q126" s="134">
        <f>COUNTIF(F126:O126,"&gt;0")</f>
        <v>1</v>
      </c>
      <c r="R126" s="215">
        <f>SMALL(F126:O126,1)+SMALL(F126:O126,2)</f>
        <v>0</v>
      </c>
      <c r="S126" s="215">
        <f>IF(Q126=1,P126,P126-R126)</f>
        <v>29.86</v>
      </c>
      <c r="T126" s="216">
        <f>RANK(P126,$P$5:$P$230,0)</f>
        <v>122</v>
      </c>
      <c r="U126" s="26">
        <f>RANK(S126,$S$5:$S$230,0)</f>
        <v>122</v>
      </c>
      <c r="W126" s="113">
        <v>22438</v>
      </c>
      <c r="Y126" s="45"/>
      <c r="AD126" s="45"/>
    </row>
    <row r="127" spans="1:30" x14ac:dyDescent="0.2">
      <c r="A127" s="46" t="s">
        <v>291</v>
      </c>
      <c r="B127" s="81">
        <v>266</v>
      </c>
      <c r="C127" s="81" t="s">
        <v>233</v>
      </c>
      <c r="D127" s="146">
        <v>20819</v>
      </c>
      <c r="E127" s="81" t="s">
        <v>196</v>
      </c>
      <c r="F127" s="61">
        <f>IF(ISNA(VLOOKUP($A127,'2 Bridges Relay'!$F$2:$F$67,1,FALSE)),0,VLOOKUP($A127,'2 Bridges Relay'!$F$2:$J$67,5,FALSE))</f>
        <v>0</v>
      </c>
      <c r="G127" s="88">
        <f>IF(ISNA(VLOOKUP($A127,'5M''s'!$D$2:$E$27,1,FALSE)),0,VLOOKUP($A127,'5M''s'!$D$2:$E$27,2,FALSE))</f>
        <v>0</v>
      </c>
      <c r="H127" s="62">
        <f>IF(ISNA(VLOOKUP($A127,'Mile handicap'!$C$2:$C$51,1,FALSE)),0,VLOOKUP($A127,'Mile handicap'!$C$2:$K$51,9,FALSE))</f>
        <v>0</v>
      </c>
      <c r="I127" s="62">
        <f>IF(ISNA(VLOOKUP($A127,'5000m handicap'!$C$2:$C$46,1,FALSE)),0,VLOOKUP($A127,'5000m handicap'!$C$2:$K$46,9,FALSE))</f>
        <v>0</v>
      </c>
      <c r="J127" s="62">
        <f>IF(ISNA(VLOOKUP($A127,'KL handicap'!$C$2:$C$37,1,FALSE)),0,VLOOKUP($A127,'KL handicap'!$C$2:$I$37,7,FALSE))</f>
        <v>0</v>
      </c>
      <c r="K127" s="62">
        <f>IF(ISNA(VLOOKUP($A127,'3000m handicap'!$C$2:$C$47,1,FALSE)),0,VLOOKUP($A127,'3000m handicap'!$C$2:$K$47,9,FALSE))</f>
        <v>0</v>
      </c>
      <c r="L127" s="62">
        <f>IF(ISNA(VLOOKUP($A127,'10 km'!$B$2:$B$50,1,FALSE)),0,VLOOKUP($A127,'10 km'!$B$2:$D$50,3,FALSE))</f>
        <v>2.04</v>
      </c>
      <c r="M127" s="62">
        <f>IF(ISNA(VLOOKUP($A127,'Peter Moor 2000m'!$C$2:$C$30,1,FALSE)),0,VLOOKUP($A127,'Peter Moor 2000m'!$C$2:$I$30,7,FALSE))</f>
        <v>0</v>
      </c>
      <c r="N127" s="62">
        <f>IF(ISNA(VLOOKUP($A127,'Max Howard Tan handicap'!$C$2:$C$23,1,FALSE)),0,VLOOKUP($A127,'Max Howard Tan handicap'!$C$2:$I$23,7,FALSE))</f>
        <v>0</v>
      </c>
      <c r="O127" s="88">
        <f>IF(ISNA(VLOOKUP($A127,parkrun!$B$2:$H$145,1,FALSE)),0,VLOOKUP($A127,parkrun!$B$2:$H$145,7,FALSE))</f>
        <v>25</v>
      </c>
      <c r="P127" s="133">
        <f>SUM(F127:O127)</f>
        <v>27.04</v>
      </c>
      <c r="Q127" s="134">
        <f>COUNTIF(F127:O127,"&gt;0")</f>
        <v>2</v>
      </c>
      <c r="R127" s="215">
        <f>SMALL(F127:O127,1)+SMALL(F127:O127,2)</f>
        <v>0</v>
      </c>
      <c r="S127" s="215">
        <f>IF(Q127=1,P127,P127-R127)</f>
        <v>27.04</v>
      </c>
      <c r="T127" s="216">
        <f>RANK(P127,$P$5:$P$230,0)</f>
        <v>123</v>
      </c>
      <c r="U127" s="26">
        <f>RANK(S127,$S$5:$S$230,0)</f>
        <v>123</v>
      </c>
      <c r="W127" s="113">
        <v>21639</v>
      </c>
      <c r="Y127" s="45"/>
      <c r="AD127" s="45"/>
    </row>
    <row r="128" spans="1:30" x14ac:dyDescent="0.2">
      <c r="A128" s="222" t="s">
        <v>100</v>
      </c>
      <c r="B128" s="81">
        <v>56</v>
      </c>
      <c r="C128" s="81" t="s">
        <v>233</v>
      </c>
      <c r="D128" s="146">
        <v>24793</v>
      </c>
      <c r="E128" s="82" t="s">
        <v>196</v>
      </c>
      <c r="F128" s="61">
        <f>IF(ISNA(VLOOKUP($A128,'2 Bridges Relay'!$F$2:$F$67,1,FALSE)),0,VLOOKUP($A128,'2 Bridges Relay'!$F$2:$J$67,5,FALSE))</f>
        <v>0</v>
      </c>
      <c r="G128" s="88">
        <f>IF(ISNA(VLOOKUP($A128,'5M''s'!$D$2:$E$27,1,FALSE)),0,VLOOKUP($A128,'5M''s'!$D$2:$E$27,2,FALSE))</f>
        <v>0</v>
      </c>
      <c r="H128" s="62">
        <f>IF(ISNA(VLOOKUP($A128,'Mile handicap'!$C$2:$C$51,1,FALSE)),0,VLOOKUP($A128,'Mile handicap'!$C$2:$K$51,9,FALSE))</f>
        <v>0</v>
      </c>
      <c r="I128" s="62">
        <f>IF(ISNA(VLOOKUP($A128,'5000m handicap'!$C$2:$C$46,1,FALSE)),0,VLOOKUP($A128,'5000m handicap'!$C$2:$K$46,9,FALSE))</f>
        <v>0</v>
      </c>
      <c r="J128" s="62">
        <f>IF(ISNA(VLOOKUP($A128,'KL handicap'!$C$2:$C$37,1,FALSE)),0,VLOOKUP($A128,'KL handicap'!$C$2:$I$37,7,FALSE))</f>
        <v>0</v>
      </c>
      <c r="K128" s="62">
        <f>IF(ISNA(VLOOKUP($A128,'3000m handicap'!$C$2:$C$47,1,FALSE)),0,VLOOKUP($A128,'3000m handicap'!$C$2:$K$47,9,FALSE))</f>
        <v>0</v>
      </c>
      <c r="L128" s="62">
        <f>IF(ISNA(VLOOKUP($A128,'10 km'!$B$2:$B$50,1,FALSE)),0,VLOOKUP($A128,'10 km'!$B$2:$D$50,3,FALSE))</f>
        <v>0</v>
      </c>
      <c r="M128" s="62">
        <f>IF(ISNA(VLOOKUP($A128,'Peter Moor 2000m'!$C$2:$C$30,1,FALSE)),0,VLOOKUP($A128,'Peter Moor 2000m'!$C$2:$I$30,7,FALSE))</f>
        <v>0</v>
      </c>
      <c r="N128" s="62">
        <f>IF(ISNA(VLOOKUP($A128,'Max Howard Tan handicap'!$C$2:$C$23,1,FALSE)),0,VLOOKUP($A128,'Max Howard Tan handicap'!$C$2:$I$23,7,FALSE))</f>
        <v>0</v>
      </c>
      <c r="O128" s="88">
        <f>IF(ISNA(VLOOKUP($A128,parkrun!$B$2:$H$145,1,FALSE)),0,VLOOKUP($A128,parkrun!$B$2:$H$145,7,FALSE))</f>
        <v>22.92</v>
      </c>
      <c r="P128" s="133">
        <f>SUM(F128:O128)</f>
        <v>22.92</v>
      </c>
      <c r="Q128" s="134">
        <f>COUNTIF(F128:O128,"&gt;0")</f>
        <v>1</v>
      </c>
      <c r="R128" s="215">
        <f>SMALL(F128:O128,1)+SMALL(F128:O128,2)</f>
        <v>0</v>
      </c>
      <c r="S128" s="215">
        <f>IF(Q128=1,P128,P128-R128)</f>
        <v>22.92</v>
      </c>
      <c r="T128" s="216">
        <f>RANK(P128,$P$5:$P$230,0)</f>
        <v>124</v>
      </c>
      <c r="U128" s="26">
        <f>RANK(S128,$S$5:$S$230,0)</f>
        <v>124</v>
      </c>
      <c r="W128" s="113">
        <v>31174</v>
      </c>
      <c r="Y128" s="45"/>
      <c r="AD128" s="45"/>
    </row>
    <row r="129" spans="1:30" x14ac:dyDescent="0.2">
      <c r="A129" s="46" t="s">
        <v>279</v>
      </c>
      <c r="B129" s="81">
        <v>254</v>
      </c>
      <c r="C129" s="81" t="s">
        <v>233</v>
      </c>
      <c r="D129" s="146">
        <v>29560</v>
      </c>
      <c r="E129" s="81" t="s">
        <v>214</v>
      </c>
      <c r="F129" s="61">
        <f>IF(ISNA(VLOOKUP($A129,'2 Bridges Relay'!$F$2:$F$67,1,FALSE)),0,VLOOKUP($A129,'2 Bridges Relay'!$F$2:$J$67,5,FALSE))</f>
        <v>0</v>
      </c>
      <c r="G129" s="88">
        <f>IF(ISNA(VLOOKUP($A129,'5M''s'!$D$2:$E$27,1,FALSE)),0,VLOOKUP($A129,'5M''s'!$D$2:$E$27,2,FALSE))</f>
        <v>0</v>
      </c>
      <c r="H129" s="62">
        <f>IF(ISNA(VLOOKUP($A129,'Mile handicap'!$C$2:$C$51,1,FALSE)),0,VLOOKUP($A129,'Mile handicap'!$C$2:$K$51,9,FALSE))</f>
        <v>0</v>
      </c>
      <c r="I129" s="62">
        <f>IF(ISNA(VLOOKUP($A129,'5000m handicap'!$C$2:$C$46,1,FALSE)),0,VLOOKUP($A129,'5000m handicap'!$C$2:$K$46,9,FALSE))</f>
        <v>0</v>
      </c>
      <c r="J129" s="62">
        <f>IF(ISNA(VLOOKUP($A129,'KL handicap'!$C$2:$C$37,1,FALSE)),0,VLOOKUP($A129,'KL handicap'!$C$2:$I$37,7,FALSE))</f>
        <v>0</v>
      </c>
      <c r="K129" s="62">
        <f>IF(ISNA(VLOOKUP($A129,'3000m handicap'!$C$2:$C$47,1,FALSE)),0,VLOOKUP($A129,'3000m handicap'!$C$2:$K$47,9,FALSE))</f>
        <v>0</v>
      </c>
      <c r="L129" s="62">
        <f>IF(ISNA(VLOOKUP($A129,'10 km'!$B$2:$B$50,1,FALSE)),0,VLOOKUP($A129,'10 km'!$B$2:$D$50,3,FALSE))</f>
        <v>0</v>
      </c>
      <c r="M129" s="62">
        <f>IF(ISNA(VLOOKUP($A129,'Peter Moor 2000m'!$C$2:$C$30,1,FALSE)),0,VLOOKUP($A129,'Peter Moor 2000m'!$C$2:$I$30,7,FALSE))</f>
        <v>0</v>
      </c>
      <c r="N129" s="62">
        <f>IF(ISNA(VLOOKUP($A129,'Max Howard Tan handicap'!$C$2:$C$23,1,FALSE)),0,VLOOKUP($A129,'Max Howard Tan handicap'!$C$2:$I$23,7,FALSE))</f>
        <v>0</v>
      </c>
      <c r="O129" s="88">
        <f>IF(ISNA(VLOOKUP($A129,parkrun!$B$2:$H$145,1,FALSE)),0,VLOOKUP($A129,parkrun!$B$2:$H$145,7,FALSE))</f>
        <v>21.53</v>
      </c>
      <c r="P129" s="133">
        <f>SUM(F129:O129)</f>
        <v>21.53</v>
      </c>
      <c r="Q129" s="134">
        <f>COUNTIF(F129:O129,"&gt;0")</f>
        <v>1</v>
      </c>
      <c r="R129" s="215">
        <f>SMALL(F129:O129,1)+SMALL(F129:O129,2)</f>
        <v>0</v>
      </c>
      <c r="S129" s="215">
        <f>IF(Q129=1,P129,P129-R129)</f>
        <v>21.53</v>
      </c>
      <c r="T129" s="216">
        <f>RANK(P129,$P$5:$P$230,0)</f>
        <v>125</v>
      </c>
      <c r="U129" s="26">
        <f>RANK(S129,$S$5:$S$230,0)</f>
        <v>125</v>
      </c>
      <c r="W129" s="113">
        <v>27827</v>
      </c>
      <c r="Y129" s="45"/>
      <c r="AD129" s="45"/>
    </row>
    <row r="130" spans="1:30" x14ac:dyDescent="0.2">
      <c r="A130" s="46" t="s">
        <v>52</v>
      </c>
      <c r="B130" s="81">
        <v>82</v>
      </c>
      <c r="C130" s="81" t="s">
        <v>233</v>
      </c>
      <c r="D130" s="146">
        <v>26009</v>
      </c>
      <c r="E130" s="81" t="s">
        <v>214</v>
      </c>
      <c r="F130" s="61">
        <f>IF(ISNA(VLOOKUP($A130,'2 Bridges Relay'!$F$2:$F$67,1,FALSE)),0,VLOOKUP($A130,'2 Bridges Relay'!$F$2:$J$67,5,FALSE))</f>
        <v>0</v>
      </c>
      <c r="G130" s="88">
        <f>IF(ISNA(VLOOKUP($A130,'5M''s'!$D$2:$E$27,1,FALSE)),0,VLOOKUP($A130,'5M''s'!$D$2:$E$27,2,FALSE))</f>
        <v>0</v>
      </c>
      <c r="H130" s="62">
        <f>IF(ISNA(VLOOKUP($A130,'Mile handicap'!$C$2:$C$51,1,FALSE)),0,VLOOKUP($A130,'Mile handicap'!$C$2:$K$51,9,FALSE))</f>
        <v>0</v>
      </c>
      <c r="I130" s="62">
        <f>IF(ISNA(VLOOKUP($A130,'5000m handicap'!$C$2:$C$46,1,FALSE)),0,VLOOKUP($A130,'5000m handicap'!$C$2:$K$46,9,FALSE))</f>
        <v>0</v>
      </c>
      <c r="J130" s="62">
        <f>IF(ISNA(VLOOKUP($A130,'KL handicap'!$C$2:$C$37,1,FALSE)),0,VLOOKUP($A130,'KL handicap'!$C$2:$I$37,7,FALSE))</f>
        <v>0</v>
      </c>
      <c r="K130" s="62">
        <f>IF(ISNA(VLOOKUP($A130,'3000m handicap'!$C$2:$C$47,1,FALSE)),0,VLOOKUP($A130,'3000m handicap'!$C$2:$K$47,9,FALSE))</f>
        <v>0</v>
      </c>
      <c r="L130" s="62">
        <f>IF(ISNA(VLOOKUP($A130,'10 km'!$B$2:$B$50,1,FALSE)),0,VLOOKUP($A130,'10 km'!$B$2:$D$50,3,FALSE))</f>
        <v>0</v>
      </c>
      <c r="M130" s="62">
        <f>IF(ISNA(VLOOKUP($A130,'Peter Moor 2000m'!$C$2:$C$30,1,FALSE)),0,VLOOKUP($A130,'Peter Moor 2000m'!$C$2:$I$30,7,FALSE))</f>
        <v>0</v>
      </c>
      <c r="N130" s="62">
        <f>IF(ISNA(VLOOKUP($A130,'Max Howard Tan handicap'!$C$2:$C$23,1,FALSE)),0,VLOOKUP($A130,'Max Howard Tan handicap'!$C$2:$I$23,7,FALSE))</f>
        <v>0</v>
      </c>
      <c r="O130" s="88">
        <f>IF(ISNA(VLOOKUP($A130,parkrun!$B$2:$H$145,1,FALSE)),0,VLOOKUP($A130,parkrun!$B$2:$H$145,7,FALSE))</f>
        <v>15.97</v>
      </c>
      <c r="P130" s="133">
        <f>SUM(F130:O130)</f>
        <v>15.97</v>
      </c>
      <c r="Q130" s="134">
        <f>COUNTIF(F130:O130,"&gt;0")</f>
        <v>1</v>
      </c>
      <c r="R130" s="215">
        <f>SMALL(F130:O130,1)+SMALL(F130:O130,2)</f>
        <v>0</v>
      </c>
      <c r="S130" s="215">
        <f>IF(Q130=1,P130,P130-R130)</f>
        <v>15.97</v>
      </c>
      <c r="T130" s="216">
        <f>RANK(P130,$P$5:$P$230,0)</f>
        <v>126</v>
      </c>
      <c r="U130" s="26">
        <f>RANK(S130,$S$5:$S$230,0)</f>
        <v>126</v>
      </c>
      <c r="W130" s="113">
        <v>25179</v>
      </c>
      <c r="Y130" s="45"/>
      <c r="AD130" s="45"/>
    </row>
    <row r="131" spans="1:30" x14ac:dyDescent="0.2">
      <c r="A131" s="46" t="s">
        <v>64</v>
      </c>
      <c r="B131" s="81">
        <v>128</v>
      </c>
      <c r="C131" s="81" t="s">
        <v>233</v>
      </c>
      <c r="D131" s="146">
        <v>24540</v>
      </c>
      <c r="E131" s="81" t="s">
        <v>196</v>
      </c>
      <c r="F131" s="61">
        <f>IF(ISNA(VLOOKUP($A131,'2 Bridges Relay'!$F$2:$F$67,1,FALSE)),0,VLOOKUP($A131,'2 Bridges Relay'!$F$2:$J$67,5,FALSE))</f>
        <v>0</v>
      </c>
      <c r="G131" s="88">
        <f>IF(ISNA(VLOOKUP($A131,'5M''s'!$D$2:$E$27,1,FALSE)),0,VLOOKUP($A131,'5M''s'!$D$2:$E$27,2,FALSE))</f>
        <v>0</v>
      </c>
      <c r="H131" s="62">
        <f>IF(ISNA(VLOOKUP($A131,'Mile handicap'!$C$2:$C$51,1,FALSE)),0,VLOOKUP($A131,'Mile handicap'!$C$2:$K$51,9,FALSE))</f>
        <v>0</v>
      </c>
      <c r="I131" s="62">
        <f>IF(ISNA(VLOOKUP($A131,'5000m handicap'!$C$2:$C$46,1,FALSE)),0,VLOOKUP($A131,'5000m handicap'!$C$2:$K$46,9,FALSE))</f>
        <v>0</v>
      </c>
      <c r="J131" s="62">
        <f>IF(ISNA(VLOOKUP($A131,'KL handicap'!$C$2:$C$37,1,FALSE)),0,VLOOKUP($A131,'KL handicap'!$C$2:$I$37,7,FALSE))</f>
        <v>0</v>
      </c>
      <c r="K131" s="62">
        <f>IF(ISNA(VLOOKUP($A131,'3000m handicap'!$C$2:$C$47,1,FALSE)),0,VLOOKUP($A131,'3000m handicap'!$C$2:$K$47,9,FALSE))</f>
        <v>0</v>
      </c>
      <c r="L131" s="62">
        <f>IF(ISNA(VLOOKUP($A131,'10 km'!$B$2:$B$50,1,FALSE)),0,VLOOKUP($A131,'10 km'!$B$2:$D$50,3,FALSE))</f>
        <v>0</v>
      </c>
      <c r="M131" s="62">
        <f>IF(ISNA(VLOOKUP($A131,'Peter Moor 2000m'!$C$2:$C$30,1,FALSE)),0,VLOOKUP($A131,'Peter Moor 2000m'!$C$2:$I$30,7,FALSE))</f>
        <v>0</v>
      </c>
      <c r="N131" s="62">
        <f>IF(ISNA(VLOOKUP($A131,'Max Howard Tan handicap'!$C$2:$C$23,1,FALSE)),0,VLOOKUP($A131,'Max Howard Tan handicap'!$C$2:$I$23,7,FALSE))</f>
        <v>0</v>
      </c>
      <c r="O131" s="88">
        <f>IF(ISNA(VLOOKUP($A131,parkrun!$B$2:$H$145,1,FALSE)),0,VLOOKUP($A131,parkrun!$B$2:$H$145,7,FALSE))</f>
        <v>15.28</v>
      </c>
      <c r="P131" s="133">
        <f>SUM(F131:O131)</f>
        <v>15.28</v>
      </c>
      <c r="Q131" s="134">
        <f>COUNTIF(F131:O131,"&gt;0")</f>
        <v>1</v>
      </c>
      <c r="R131" s="215">
        <f>SMALL(F131:O131,1)+SMALL(F131:O131,2)</f>
        <v>0</v>
      </c>
      <c r="S131" s="215">
        <f>IF(Q131=1,P131,P131-R131)</f>
        <v>15.28</v>
      </c>
      <c r="T131" s="216">
        <f>RANK(P131,$P$5:$P$230,0)</f>
        <v>127</v>
      </c>
      <c r="U131" s="26">
        <f>RANK(S131,$S$5:$S$230,0)</f>
        <v>127</v>
      </c>
      <c r="W131" s="113">
        <v>26030</v>
      </c>
      <c r="Y131" s="45"/>
      <c r="AD131" s="45"/>
    </row>
    <row r="132" spans="1:30" x14ac:dyDescent="0.2">
      <c r="A132" s="46" t="s">
        <v>94</v>
      </c>
      <c r="B132" s="81">
        <v>74</v>
      </c>
      <c r="C132" s="81" t="s">
        <v>233</v>
      </c>
      <c r="D132" s="146">
        <v>22057</v>
      </c>
      <c r="E132" s="81" t="s">
        <v>196</v>
      </c>
      <c r="F132" s="61">
        <f>IF(ISNA(VLOOKUP($A132,'2 Bridges Relay'!$F$2:$F$67,1,FALSE)),0,VLOOKUP($A132,'2 Bridges Relay'!$F$2:$J$67,5,FALSE))</f>
        <v>0</v>
      </c>
      <c r="G132" s="88">
        <f>IF(ISNA(VLOOKUP($A132,'5M''s'!$D$2:$E$27,1,FALSE)),0,VLOOKUP($A132,'5M''s'!$D$2:$E$27,2,FALSE))</f>
        <v>0</v>
      </c>
      <c r="H132" s="62">
        <f>IF(ISNA(VLOOKUP($A132,'Mile handicap'!$C$2:$C$51,1,FALSE)),0,VLOOKUP($A132,'Mile handicap'!$C$2:$K$51,9,FALSE))</f>
        <v>0</v>
      </c>
      <c r="I132" s="62">
        <f>IF(ISNA(VLOOKUP($A132,'5000m handicap'!$C$2:$C$46,1,FALSE)),0,VLOOKUP($A132,'5000m handicap'!$C$2:$K$46,9,FALSE))</f>
        <v>0</v>
      </c>
      <c r="J132" s="62">
        <f>IF(ISNA(VLOOKUP($A132,'KL handicap'!$C$2:$C$37,1,FALSE)),0,VLOOKUP($A132,'KL handicap'!$C$2:$I$37,7,FALSE))</f>
        <v>0</v>
      </c>
      <c r="K132" s="62">
        <f>IF(ISNA(VLOOKUP($A132,'3000m handicap'!$C$2:$C$47,1,FALSE)),0,VLOOKUP($A132,'3000m handicap'!$C$2:$K$47,9,FALSE))</f>
        <v>0</v>
      </c>
      <c r="L132" s="62">
        <f>IF(ISNA(VLOOKUP($A132,'10 km'!$B$2:$B$50,1,FALSE)),0,VLOOKUP($A132,'10 km'!$B$2:$D$50,3,FALSE))</f>
        <v>0</v>
      </c>
      <c r="M132" s="62">
        <f>IF(ISNA(VLOOKUP($A132,'Peter Moor 2000m'!$C$2:$C$30,1,FALSE)),0,VLOOKUP($A132,'Peter Moor 2000m'!$C$2:$I$30,7,FALSE))</f>
        <v>0</v>
      </c>
      <c r="N132" s="62">
        <f>IF(ISNA(VLOOKUP($A132,'Max Howard Tan handicap'!$C$2:$C$23,1,FALSE)),0,VLOOKUP($A132,'Max Howard Tan handicap'!$C$2:$I$23,7,FALSE))</f>
        <v>0</v>
      </c>
      <c r="O132" s="88">
        <f>IF(ISNA(VLOOKUP($A132,parkrun!$B$2:$H$145,1,FALSE)),0,VLOOKUP($A132,parkrun!$B$2:$H$145,7,FALSE))</f>
        <v>14.58</v>
      </c>
      <c r="P132" s="133">
        <f>SUM(F132:O132)</f>
        <v>14.58</v>
      </c>
      <c r="Q132" s="134">
        <f>COUNTIF(F132:O132,"&gt;0")</f>
        <v>1</v>
      </c>
      <c r="R132" s="215">
        <f>SMALL(F132:O132,1)+SMALL(F132:O132,2)</f>
        <v>0</v>
      </c>
      <c r="S132" s="215">
        <f>IF(Q132=1,P132,P132-R132)</f>
        <v>14.58</v>
      </c>
      <c r="T132" s="216">
        <f>RANK(P132,$P$5:$P$230,0)</f>
        <v>128</v>
      </c>
      <c r="U132" s="26">
        <f>RANK(S132,$S$5:$S$230,0)</f>
        <v>128</v>
      </c>
      <c r="V132"/>
      <c r="W132" s="113">
        <v>26229</v>
      </c>
      <c r="Y132" s="45"/>
      <c r="AD132" s="45"/>
    </row>
    <row r="133" spans="1:30" x14ac:dyDescent="0.2">
      <c r="A133" s="46" t="s">
        <v>401</v>
      </c>
      <c r="B133" s="81">
        <v>161</v>
      </c>
      <c r="C133" s="81" t="s">
        <v>233</v>
      </c>
      <c r="D133" s="146">
        <v>32367</v>
      </c>
      <c r="E133" s="81" t="s">
        <v>214</v>
      </c>
      <c r="F133" s="61">
        <f>IF(ISNA(VLOOKUP($A133,'2 Bridges Relay'!$F$2:$F$67,1,FALSE)),0,VLOOKUP($A133,'2 Bridges Relay'!$F$2:$J$67,5,FALSE))</f>
        <v>0</v>
      </c>
      <c r="G133" s="88">
        <f>IF(ISNA(VLOOKUP($A133,'5M''s'!$D$2:$E$27,1,FALSE)),0,VLOOKUP($A133,'5M''s'!$D$2:$E$27,2,FALSE))</f>
        <v>0</v>
      </c>
      <c r="H133" s="62">
        <f>IF(ISNA(VLOOKUP($A133,'Mile handicap'!$C$2:$C$51,1,FALSE)),0,VLOOKUP($A133,'Mile handicap'!$C$2:$K$51,9,FALSE))</f>
        <v>0</v>
      </c>
      <c r="I133" s="62">
        <f>IF(ISNA(VLOOKUP($A133,'5000m handicap'!$C$2:$C$46,1,FALSE)),0,VLOOKUP($A133,'5000m handicap'!$C$2:$K$46,9,FALSE))</f>
        <v>0</v>
      </c>
      <c r="J133" s="62">
        <f>IF(ISNA(VLOOKUP($A133,'KL handicap'!$C$2:$C$37,1,FALSE)),0,VLOOKUP($A133,'KL handicap'!$C$2:$I$37,7,FALSE))</f>
        <v>0</v>
      </c>
      <c r="K133" s="62">
        <f>IF(ISNA(VLOOKUP($A133,'3000m handicap'!$C$2:$C$47,1,FALSE)),0,VLOOKUP($A133,'3000m handicap'!$C$2:$K$47,9,FALSE))</f>
        <v>0</v>
      </c>
      <c r="L133" s="62">
        <f>IF(ISNA(VLOOKUP($A133,'10 km'!$B$2:$B$50,1,FALSE)),0,VLOOKUP($A133,'10 km'!$B$2:$D$50,3,FALSE))</f>
        <v>0</v>
      </c>
      <c r="M133" s="62">
        <f>IF(ISNA(VLOOKUP($A133,'Peter Moor 2000m'!$C$2:$C$30,1,FALSE)),0,VLOOKUP($A133,'Peter Moor 2000m'!$C$2:$I$30,7,FALSE))</f>
        <v>0</v>
      </c>
      <c r="N133" s="62">
        <f>IF(ISNA(VLOOKUP($A133,'Max Howard Tan handicap'!$C$2:$C$23,1,FALSE)),0,VLOOKUP($A133,'Max Howard Tan handicap'!$C$2:$I$23,7,FALSE))</f>
        <v>0</v>
      </c>
      <c r="O133" s="88">
        <f>IF(ISNA(VLOOKUP($A133,parkrun!$B$2:$H$145,1,FALSE)),0,VLOOKUP($A133,parkrun!$B$2:$H$145,7,FALSE))</f>
        <v>13.19</v>
      </c>
      <c r="P133" s="133">
        <f>SUM(F133:O133)</f>
        <v>13.19</v>
      </c>
      <c r="Q133" s="134">
        <f>COUNTIF(F133:O133,"&gt;0")</f>
        <v>1</v>
      </c>
      <c r="R133" s="215">
        <f>SMALL(F133:O133,1)+SMALL(F133:O133,2)</f>
        <v>0</v>
      </c>
      <c r="S133" s="215">
        <f>IF(Q133=1,P133,P133-R133)</f>
        <v>13.19</v>
      </c>
      <c r="T133" s="216">
        <f>RANK(P133,$P$5:$P$230,0)</f>
        <v>129</v>
      </c>
      <c r="U133" s="26">
        <f>RANK(S133,$S$5:$S$230,0)</f>
        <v>129</v>
      </c>
      <c r="V133"/>
      <c r="W133" s="113">
        <v>27467</v>
      </c>
      <c r="Y133" s="45"/>
      <c r="AD133" s="45"/>
    </row>
    <row r="134" spans="1:30" x14ac:dyDescent="0.2">
      <c r="A134" s="46" t="s">
        <v>115</v>
      </c>
      <c r="B134" s="81">
        <v>76</v>
      </c>
      <c r="C134" s="81" t="s">
        <v>233</v>
      </c>
      <c r="D134" s="146">
        <v>22747</v>
      </c>
      <c r="E134" s="81" t="s">
        <v>196</v>
      </c>
      <c r="F134" s="61">
        <f>IF(ISNA(VLOOKUP($A134,'2 Bridges Relay'!$F$2:$F$67,1,FALSE)),0,VLOOKUP($A134,'2 Bridges Relay'!$F$2:$J$67,5,FALSE))</f>
        <v>0</v>
      </c>
      <c r="G134" s="88">
        <f>IF(ISNA(VLOOKUP($A134,'5M''s'!$D$2:$E$27,1,FALSE)),0,VLOOKUP($A134,'5M''s'!$D$2:$E$27,2,FALSE))</f>
        <v>0</v>
      </c>
      <c r="H134" s="62">
        <f>IF(ISNA(VLOOKUP($A134,'Mile handicap'!$C$2:$C$51,1,FALSE)),0,VLOOKUP($A134,'Mile handicap'!$C$2:$K$51,9,FALSE))</f>
        <v>0</v>
      </c>
      <c r="I134" s="62">
        <f>IF(ISNA(VLOOKUP($A134,'5000m handicap'!$C$2:$C$46,1,FALSE)),0,VLOOKUP($A134,'5000m handicap'!$C$2:$K$46,9,FALSE))</f>
        <v>0</v>
      </c>
      <c r="J134" s="62">
        <f>IF(ISNA(VLOOKUP($A134,'KL handicap'!$C$2:$C$37,1,FALSE)),0,VLOOKUP($A134,'KL handicap'!$C$2:$I$37,7,FALSE))</f>
        <v>0</v>
      </c>
      <c r="K134" s="62">
        <f>IF(ISNA(VLOOKUP($A134,'3000m handicap'!$C$2:$C$47,1,FALSE)),0,VLOOKUP($A134,'3000m handicap'!$C$2:$K$47,9,FALSE))</f>
        <v>0</v>
      </c>
      <c r="L134" s="62">
        <f>IF(ISNA(VLOOKUP($A134,'10 km'!$B$2:$B$50,1,FALSE)),0,VLOOKUP($A134,'10 km'!$B$2:$D$50,3,FALSE))</f>
        <v>0</v>
      </c>
      <c r="M134" s="62">
        <f>IF(ISNA(VLOOKUP($A134,'Peter Moor 2000m'!$C$2:$C$30,1,FALSE)),0,VLOOKUP($A134,'Peter Moor 2000m'!$C$2:$I$30,7,FALSE))</f>
        <v>0</v>
      </c>
      <c r="N134" s="62">
        <f>IF(ISNA(VLOOKUP($A134,'Max Howard Tan handicap'!$C$2:$C$23,1,FALSE)),0,VLOOKUP($A134,'Max Howard Tan handicap'!$C$2:$I$23,7,FALSE))</f>
        <v>0</v>
      </c>
      <c r="O134" s="88">
        <f>IF(ISNA(VLOOKUP($A134,parkrun!$B$2:$H$145,1,FALSE)),0,VLOOKUP($A134,parkrun!$B$2:$H$145,7,FALSE))</f>
        <v>12.5</v>
      </c>
      <c r="P134" s="133">
        <f>SUM(F134:O134)</f>
        <v>12.5</v>
      </c>
      <c r="Q134" s="134">
        <f>COUNTIF(F134:O134,"&gt;0")</f>
        <v>1</v>
      </c>
      <c r="R134" s="215">
        <f>SMALL(F134:O134,1)+SMALL(F134:O134,2)</f>
        <v>0</v>
      </c>
      <c r="S134" s="215">
        <f>IF(Q134=1,P134,P134-R134)</f>
        <v>12.5</v>
      </c>
      <c r="T134" s="216">
        <f>RANK(P134,$P$5:$P$230,0)</f>
        <v>130</v>
      </c>
      <c r="U134" s="26">
        <f>RANK(S134,$S$5:$S$230,0)</f>
        <v>130</v>
      </c>
      <c r="V134"/>
      <c r="W134" s="113">
        <v>30275</v>
      </c>
      <c r="Y134" s="45"/>
      <c r="AD134" s="45"/>
    </row>
    <row r="135" spans="1:30" x14ac:dyDescent="0.2">
      <c r="A135" s="46" t="s">
        <v>165</v>
      </c>
      <c r="B135" s="81">
        <v>178</v>
      </c>
      <c r="C135" s="81" t="s">
        <v>233</v>
      </c>
      <c r="D135" s="146">
        <v>28958</v>
      </c>
      <c r="E135" s="81" t="s">
        <v>214</v>
      </c>
      <c r="F135" s="61">
        <f>IF(ISNA(VLOOKUP($A135,'2 Bridges Relay'!$F$2:$F$67,1,FALSE)),0,VLOOKUP($A135,'2 Bridges Relay'!$F$2:$J$67,5,FALSE))</f>
        <v>0</v>
      </c>
      <c r="G135" s="88">
        <f>IF(ISNA(VLOOKUP($A135,'5M''s'!$D$2:$E$27,1,FALSE)),0,VLOOKUP($A135,'5M''s'!$D$2:$E$27,2,FALSE))</f>
        <v>0</v>
      </c>
      <c r="H135" s="62">
        <f>IF(ISNA(VLOOKUP($A135,'Mile handicap'!$C$2:$C$51,1,FALSE)),0,VLOOKUP($A135,'Mile handicap'!$C$2:$K$51,9,FALSE))</f>
        <v>0</v>
      </c>
      <c r="I135" s="62">
        <f>IF(ISNA(VLOOKUP($A135,'5000m handicap'!$C$2:$C$46,1,FALSE)),0,VLOOKUP($A135,'5000m handicap'!$C$2:$K$46,9,FALSE))</f>
        <v>0</v>
      </c>
      <c r="J135" s="62">
        <f>IF(ISNA(VLOOKUP($A135,'KL handicap'!$C$2:$C$37,1,FALSE)),0,VLOOKUP($A135,'KL handicap'!$C$2:$I$37,7,FALSE))</f>
        <v>0</v>
      </c>
      <c r="K135" s="62">
        <f>IF(ISNA(VLOOKUP($A135,'3000m handicap'!$C$2:$C$47,1,FALSE)),0,VLOOKUP($A135,'3000m handicap'!$C$2:$K$47,9,FALSE))</f>
        <v>0</v>
      </c>
      <c r="L135" s="62">
        <f>IF(ISNA(VLOOKUP($A135,'10 km'!$B$2:$B$50,1,FALSE)),0,VLOOKUP($A135,'10 km'!$B$2:$D$50,3,FALSE))</f>
        <v>0</v>
      </c>
      <c r="M135" s="62">
        <f>IF(ISNA(VLOOKUP($A135,'Peter Moor 2000m'!$C$2:$C$30,1,FALSE)),0,VLOOKUP($A135,'Peter Moor 2000m'!$C$2:$I$30,7,FALSE))</f>
        <v>0</v>
      </c>
      <c r="N135" s="62">
        <f>IF(ISNA(VLOOKUP($A135,'Max Howard Tan handicap'!$C$2:$C$23,1,FALSE)),0,VLOOKUP($A135,'Max Howard Tan handicap'!$C$2:$I$23,7,FALSE))</f>
        <v>0</v>
      </c>
      <c r="O135" s="88">
        <f>IF(ISNA(VLOOKUP($A135,parkrun!$B$2:$H$145,1,FALSE)),0,VLOOKUP($A135,parkrun!$B$2:$H$145,7,FALSE))</f>
        <v>11.81</v>
      </c>
      <c r="P135" s="133">
        <f>SUM(F135:O135)</f>
        <v>11.81</v>
      </c>
      <c r="Q135" s="134">
        <f>COUNTIF(F135:O135,"&gt;0")</f>
        <v>1</v>
      </c>
      <c r="R135" s="215">
        <f>SMALL(F135:O135,1)+SMALL(F135:O135,2)</f>
        <v>0</v>
      </c>
      <c r="S135" s="215">
        <f>IF(Q135=1,P135,P135-R135)</f>
        <v>11.81</v>
      </c>
      <c r="T135" s="216">
        <f>RANK(P135,$P$5:$P$230,0)</f>
        <v>131</v>
      </c>
      <c r="U135" s="26">
        <f>RANK(S135,$S$5:$S$230,0)</f>
        <v>131</v>
      </c>
      <c r="V135"/>
      <c r="W135" s="113">
        <v>26270</v>
      </c>
      <c r="Y135" s="45"/>
      <c r="AD135" s="45"/>
    </row>
    <row r="136" spans="1:30" x14ac:dyDescent="0.2">
      <c r="A136" s="46" t="s">
        <v>433</v>
      </c>
      <c r="B136" s="81">
        <v>314</v>
      </c>
      <c r="C136" s="81" t="s">
        <v>233</v>
      </c>
      <c r="D136" s="146">
        <v>30503</v>
      </c>
      <c r="E136" s="81" t="s">
        <v>214</v>
      </c>
      <c r="F136" s="61">
        <f>IF(ISNA(VLOOKUP($A136,'2 Bridges Relay'!$F$2:$F$67,1,FALSE)),0,VLOOKUP($A136,'2 Bridges Relay'!$F$2:$J$67,5,FALSE))</f>
        <v>0</v>
      </c>
      <c r="G136" s="88">
        <f>IF(ISNA(VLOOKUP($A136,'5M''s'!$D$2:$E$27,1,FALSE)),0,VLOOKUP($A136,'5M''s'!$D$2:$E$27,2,FALSE))</f>
        <v>0</v>
      </c>
      <c r="H136" s="62">
        <f>IF(ISNA(VLOOKUP($A136,'Mile handicap'!$C$2:$C$51,1,FALSE)),0,VLOOKUP($A136,'Mile handicap'!$C$2:$K$51,9,FALSE))</f>
        <v>0</v>
      </c>
      <c r="I136" s="62">
        <f>IF(ISNA(VLOOKUP($A136,'5000m handicap'!$C$2:$C$46,1,FALSE)),0,VLOOKUP($A136,'5000m handicap'!$C$2:$K$46,9,FALSE))</f>
        <v>0</v>
      </c>
      <c r="J136" s="62">
        <f>IF(ISNA(VLOOKUP($A136,'KL handicap'!$C$2:$C$37,1,FALSE)),0,VLOOKUP($A136,'KL handicap'!$C$2:$I$37,7,FALSE))</f>
        <v>0</v>
      </c>
      <c r="K136" s="62">
        <f>IF(ISNA(VLOOKUP($A136,'3000m handicap'!$C$2:$C$47,1,FALSE)),0,VLOOKUP($A136,'3000m handicap'!$C$2:$K$47,9,FALSE))</f>
        <v>0</v>
      </c>
      <c r="L136" s="62">
        <f>IF(ISNA(VLOOKUP($A136,'10 km'!$B$2:$B$50,1,FALSE)),0,VLOOKUP($A136,'10 km'!$B$2:$D$50,3,FALSE))</f>
        <v>0</v>
      </c>
      <c r="M136" s="62">
        <f>IF(ISNA(VLOOKUP($A136,'Peter Moor 2000m'!$C$2:$C$30,1,FALSE)),0,VLOOKUP($A136,'Peter Moor 2000m'!$C$2:$I$30,7,FALSE))</f>
        <v>0</v>
      </c>
      <c r="N136" s="62">
        <f>IF(ISNA(VLOOKUP($A136,'Max Howard Tan handicap'!$C$2:$C$23,1,FALSE)),0,VLOOKUP($A136,'Max Howard Tan handicap'!$C$2:$I$23,7,FALSE))</f>
        <v>0</v>
      </c>
      <c r="O136" s="88">
        <f>IF(ISNA(VLOOKUP($A136,parkrun!$B$2:$H$145,1,FALSE)),0,VLOOKUP($A136,parkrun!$B$2:$H$145,7,FALSE))</f>
        <v>11.11</v>
      </c>
      <c r="P136" s="133">
        <f>SUM(F136:O136)</f>
        <v>11.11</v>
      </c>
      <c r="Q136" s="134">
        <f>COUNTIF(F136:O136,"&gt;0")</f>
        <v>1</v>
      </c>
      <c r="R136" s="215">
        <f>SMALL(F136:O136,1)+SMALL(F136:O136,2)</f>
        <v>0</v>
      </c>
      <c r="S136" s="215">
        <f>IF(Q136=1,P136,P136-R136)</f>
        <v>11.11</v>
      </c>
      <c r="T136" s="216">
        <f>RANK(P136,$P$5:$P$230,0)</f>
        <v>132</v>
      </c>
      <c r="U136" s="26">
        <f>RANK(S136,$S$5:$S$230,0)</f>
        <v>132</v>
      </c>
      <c r="V136"/>
      <c r="W136" s="113">
        <v>30976</v>
      </c>
      <c r="Y136" s="45"/>
      <c r="AD136" s="45"/>
    </row>
    <row r="137" spans="1:30" x14ac:dyDescent="0.2">
      <c r="A137" s="46" t="s">
        <v>449</v>
      </c>
      <c r="B137" s="81">
        <v>326</v>
      </c>
      <c r="C137" s="81" t="s">
        <v>233</v>
      </c>
      <c r="D137" s="146">
        <v>29170</v>
      </c>
      <c r="E137" s="81" t="s">
        <v>214</v>
      </c>
      <c r="F137" s="61">
        <f>IF(ISNA(VLOOKUP($A137,'2 Bridges Relay'!$F$2:$F$67,1,FALSE)),0,VLOOKUP($A137,'2 Bridges Relay'!$F$2:$J$67,5,FALSE))</f>
        <v>0</v>
      </c>
      <c r="G137" s="88">
        <f>IF(ISNA(VLOOKUP($A137,'5M''s'!$D$2:$E$27,1,FALSE)),0,VLOOKUP($A137,'5M''s'!$D$2:$E$27,2,FALSE))</f>
        <v>0</v>
      </c>
      <c r="H137" s="62">
        <f>IF(ISNA(VLOOKUP($A137,'Mile handicap'!$C$2:$C$51,1,FALSE)),0,VLOOKUP($A137,'Mile handicap'!$C$2:$K$51,9,FALSE))</f>
        <v>0</v>
      </c>
      <c r="I137" s="62">
        <f>IF(ISNA(VLOOKUP($A137,'5000m handicap'!$C$2:$C$46,1,FALSE)),0,VLOOKUP($A137,'5000m handicap'!$C$2:$K$46,9,FALSE))</f>
        <v>0</v>
      </c>
      <c r="J137" s="62">
        <f>IF(ISNA(VLOOKUP($A137,'KL handicap'!$C$2:$C$37,1,FALSE)),0,VLOOKUP($A137,'KL handicap'!$C$2:$I$37,7,FALSE))</f>
        <v>0</v>
      </c>
      <c r="K137" s="62">
        <f>IF(ISNA(VLOOKUP($A137,'3000m handicap'!$C$2:$C$47,1,FALSE)),0,VLOOKUP($A137,'3000m handicap'!$C$2:$K$47,9,FALSE))</f>
        <v>0</v>
      </c>
      <c r="L137" s="62">
        <f>IF(ISNA(VLOOKUP($A137,'10 km'!$B$2:$B$50,1,FALSE)),0,VLOOKUP($A137,'10 km'!$B$2:$D$50,3,FALSE))</f>
        <v>0</v>
      </c>
      <c r="M137" s="62">
        <f>IF(ISNA(VLOOKUP($A137,'Peter Moor 2000m'!$C$2:$C$30,1,FALSE)),0,VLOOKUP($A137,'Peter Moor 2000m'!$C$2:$I$30,7,FALSE))</f>
        <v>0</v>
      </c>
      <c r="N137" s="62">
        <f>IF(ISNA(VLOOKUP($A137,'Max Howard Tan handicap'!$C$2:$C$23,1,FALSE)),0,VLOOKUP($A137,'Max Howard Tan handicap'!$C$2:$I$23,7,FALSE))</f>
        <v>0</v>
      </c>
      <c r="O137" s="88">
        <f>IF(ISNA(VLOOKUP($A137,parkrun!$B$2:$H$145,1,FALSE)),0,VLOOKUP($A137,parkrun!$B$2:$H$145,7,FALSE))</f>
        <v>10.42</v>
      </c>
      <c r="P137" s="133">
        <f>SUM(F137:O137)</f>
        <v>10.42</v>
      </c>
      <c r="Q137" s="134">
        <f>COUNTIF(F137:O137,"&gt;0")</f>
        <v>1</v>
      </c>
      <c r="R137" s="215">
        <f>SMALL(F137:O137,1)+SMALL(F137:O137,2)</f>
        <v>0</v>
      </c>
      <c r="S137" s="215">
        <f>IF(Q137=1,P137,P137-R137)</f>
        <v>10.42</v>
      </c>
      <c r="T137" s="216">
        <f>RANK(P137,$P$5:$P$230,0)</f>
        <v>133</v>
      </c>
      <c r="U137" s="26">
        <f>RANK(S137,$S$5:$S$230,0)</f>
        <v>133</v>
      </c>
      <c r="V137"/>
      <c r="W137" s="113">
        <v>26067</v>
      </c>
      <c r="Y137" s="45"/>
      <c r="AD137" s="45"/>
    </row>
    <row r="138" spans="1:30" x14ac:dyDescent="0.2">
      <c r="A138" s="46" t="s">
        <v>288</v>
      </c>
      <c r="B138" s="81">
        <v>260</v>
      </c>
      <c r="C138" s="81" t="s">
        <v>233</v>
      </c>
      <c r="D138" s="146">
        <v>28075</v>
      </c>
      <c r="E138" s="81" t="s">
        <v>214</v>
      </c>
      <c r="F138" s="61">
        <f>IF(ISNA(VLOOKUP($A138,'2 Bridges Relay'!$F$2:$F$67,1,FALSE)),0,VLOOKUP($A138,'2 Bridges Relay'!$F$2:$J$67,5,FALSE))</f>
        <v>0</v>
      </c>
      <c r="G138" s="88">
        <f>IF(ISNA(VLOOKUP($A138,'5M''s'!$D$2:$E$27,1,FALSE)),0,VLOOKUP($A138,'5M''s'!$D$2:$E$27,2,FALSE))</f>
        <v>0</v>
      </c>
      <c r="H138" s="62">
        <f>IF(ISNA(VLOOKUP($A138,'Mile handicap'!$C$2:$C$51,1,FALSE)),0,VLOOKUP($A138,'Mile handicap'!$C$2:$K$51,9,FALSE))</f>
        <v>0</v>
      </c>
      <c r="I138" s="62">
        <f>IF(ISNA(VLOOKUP($A138,'5000m handicap'!$C$2:$C$46,1,FALSE)),0,VLOOKUP($A138,'5000m handicap'!$C$2:$K$46,9,FALSE))</f>
        <v>0</v>
      </c>
      <c r="J138" s="62">
        <f>IF(ISNA(VLOOKUP($A138,'KL handicap'!$C$2:$C$37,1,FALSE)),0,VLOOKUP($A138,'KL handicap'!$C$2:$I$37,7,FALSE))</f>
        <v>0</v>
      </c>
      <c r="K138" s="62">
        <f>IF(ISNA(VLOOKUP($A138,'3000m handicap'!$C$2:$C$47,1,FALSE)),0,VLOOKUP($A138,'3000m handicap'!$C$2:$K$47,9,FALSE))</f>
        <v>0</v>
      </c>
      <c r="L138" s="62">
        <f>IF(ISNA(VLOOKUP($A138,'10 km'!$B$2:$B$50,1,FALSE)),0,VLOOKUP($A138,'10 km'!$B$2:$D$50,3,FALSE))</f>
        <v>0</v>
      </c>
      <c r="M138" s="62">
        <f>IF(ISNA(VLOOKUP($A138,'Peter Moor 2000m'!$C$2:$C$30,1,FALSE)),0,VLOOKUP($A138,'Peter Moor 2000m'!$C$2:$I$30,7,FALSE))</f>
        <v>0</v>
      </c>
      <c r="N138" s="62">
        <f>IF(ISNA(VLOOKUP($A138,'Max Howard Tan handicap'!$C$2:$C$23,1,FALSE)),0,VLOOKUP($A138,'Max Howard Tan handicap'!$C$2:$I$23,7,FALSE))</f>
        <v>0</v>
      </c>
      <c r="O138" s="88">
        <f>IF(ISNA(VLOOKUP($A138,parkrun!$B$2:$H$145,1,FALSE)),0,VLOOKUP($A138,parkrun!$B$2:$H$145,7,FALSE))</f>
        <v>9.7200000000000006</v>
      </c>
      <c r="P138" s="133">
        <f>SUM(F138:O138)</f>
        <v>9.7200000000000006</v>
      </c>
      <c r="Q138" s="134">
        <f>COUNTIF(F138:O138,"&gt;0")</f>
        <v>1</v>
      </c>
      <c r="R138" s="215">
        <f>SMALL(F138:O138,1)+SMALL(F138:O138,2)</f>
        <v>0</v>
      </c>
      <c r="S138" s="215">
        <f>IF(Q138=1,P138,P138-R138)</f>
        <v>9.7200000000000006</v>
      </c>
      <c r="T138" s="216">
        <f>RANK(P138,$P$5:$P$230,0)</f>
        <v>134</v>
      </c>
      <c r="U138" s="26">
        <f>RANK(S138,$S$5:$S$230,0)</f>
        <v>134</v>
      </c>
      <c r="V138"/>
      <c r="W138" s="113">
        <v>29014</v>
      </c>
      <c r="Y138" s="45"/>
      <c r="AD138" s="45"/>
    </row>
    <row r="139" spans="1:30" x14ac:dyDescent="0.2">
      <c r="A139" s="46" t="s">
        <v>447</v>
      </c>
      <c r="B139" s="81">
        <v>322</v>
      </c>
      <c r="C139" s="81" t="s">
        <v>233</v>
      </c>
      <c r="D139" s="146">
        <v>28530</v>
      </c>
      <c r="E139" s="81" t="s">
        <v>214</v>
      </c>
      <c r="F139" s="61">
        <f>IF(ISNA(VLOOKUP($A139,'2 Bridges Relay'!$F$2:$F$67,1,FALSE)),0,VLOOKUP($A139,'2 Bridges Relay'!$F$2:$J$67,5,FALSE))</f>
        <v>0</v>
      </c>
      <c r="G139" s="88">
        <f>IF(ISNA(VLOOKUP($A139,'5M''s'!$D$2:$E$27,1,FALSE)),0,VLOOKUP($A139,'5M''s'!$D$2:$E$27,2,FALSE))</f>
        <v>0</v>
      </c>
      <c r="H139" s="62">
        <f>IF(ISNA(VLOOKUP($A139,'Mile handicap'!$C$2:$C$51,1,FALSE)),0,VLOOKUP($A139,'Mile handicap'!$C$2:$K$51,9,FALSE))</f>
        <v>0</v>
      </c>
      <c r="I139" s="62">
        <f>IF(ISNA(VLOOKUP($A139,'5000m handicap'!$C$2:$C$46,1,FALSE)),0,VLOOKUP($A139,'5000m handicap'!$C$2:$K$46,9,FALSE))</f>
        <v>0</v>
      </c>
      <c r="J139" s="62">
        <f>IF(ISNA(VLOOKUP($A139,'KL handicap'!$C$2:$C$37,1,FALSE)),0,VLOOKUP($A139,'KL handicap'!$C$2:$I$37,7,FALSE))</f>
        <v>0</v>
      </c>
      <c r="K139" s="62">
        <f>IF(ISNA(VLOOKUP($A139,'3000m handicap'!$C$2:$C$47,1,FALSE)),0,VLOOKUP($A139,'3000m handicap'!$C$2:$K$47,9,FALSE))</f>
        <v>0</v>
      </c>
      <c r="L139" s="62">
        <f>IF(ISNA(VLOOKUP($A139,'10 km'!$B$2:$B$50,1,FALSE)),0,VLOOKUP($A139,'10 km'!$B$2:$D$50,3,FALSE))</f>
        <v>0</v>
      </c>
      <c r="M139" s="62">
        <f>IF(ISNA(VLOOKUP($A139,'Peter Moor 2000m'!$C$2:$C$30,1,FALSE)),0,VLOOKUP($A139,'Peter Moor 2000m'!$C$2:$I$30,7,FALSE))</f>
        <v>0</v>
      </c>
      <c r="N139" s="62">
        <f>IF(ISNA(VLOOKUP($A139,'Max Howard Tan handicap'!$C$2:$C$23,1,FALSE)),0,VLOOKUP($A139,'Max Howard Tan handicap'!$C$2:$I$23,7,FALSE))</f>
        <v>0</v>
      </c>
      <c r="O139" s="88">
        <f>IF(ISNA(VLOOKUP($A139,parkrun!$B$2:$H$145,1,FALSE)),0,VLOOKUP($A139,parkrun!$B$2:$H$145,7,FALSE))</f>
        <v>9.0299999999999994</v>
      </c>
      <c r="P139" s="133">
        <f>SUM(F139:O139)</f>
        <v>9.0299999999999994</v>
      </c>
      <c r="Q139" s="134">
        <f>COUNTIF(F139:O139,"&gt;0")</f>
        <v>1</v>
      </c>
      <c r="R139" s="215">
        <f>SMALL(F139:O139,1)+SMALL(F139:O139,2)</f>
        <v>0</v>
      </c>
      <c r="S139" s="215">
        <f>IF(Q139=1,P139,P139-R139)</f>
        <v>9.0299999999999994</v>
      </c>
      <c r="T139" s="216">
        <f>RANK(P139,$P$5:$P$230,0)</f>
        <v>135</v>
      </c>
      <c r="U139" s="26">
        <f>RANK(S139,$S$5:$S$230,0)</f>
        <v>135</v>
      </c>
      <c r="V139"/>
      <c r="W139" s="113">
        <v>18782</v>
      </c>
      <c r="Y139" s="45"/>
      <c r="AD139" s="45"/>
    </row>
    <row r="140" spans="1:30" x14ac:dyDescent="0.2">
      <c r="A140" s="46" t="s">
        <v>49</v>
      </c>
      <c r="B140" s="81">
        <v>112</v>
      </c>
      <c r="C140" s="81" t="s">
        <v>233</v>
      </c>
      <c r="D140" s="146">
        <v>26458</v>
      </c>
      <c r="E140" s="81" t="s">
        <v>214</v>
      </c>
      <c r="F140" s="61">
        <f>IF(ISNA(VLOOKUP($A140,'2 Bridges Relay'!$F$2:$F$67,1,FALSE)),0,VLOOKUP($A140,'2 Bridges Relay'!$F$2:$J$67,5,FALSE))</f>
        <v>0</v>
      </c>
      <c r="G140" s="88">
        <f>IF(ISNA(VLOOKUP($A140,'5M''s'!$D$2:$E$27,1,FALSE)),0,VLOOKUP($A140,'5M''s'!$D$2:$E$27,2,FALSE))</f>
        <v>0</v>
      </c>
      <c r="H140" s="62">
        <f>IF(ISNA(VLOOKUP($A140,'Mile handicap'!$C$2:$C$51,1,FALSE)),0,VLOOKUP($A140,'Mile handicap'!$C$2:$K$51,9,FALSE))</f>
        <v>0</v>
      </c>
      <c r="I140" s="62">
        <f>IF(ISNA(VLOOKUP($A140,'5000m handicap'!$C$2:$C$46,1,FALSE)),0,VLOOKUP($A140,'5000m handicap'!$C$2:$K$46,9,FALSE))</f>
        <v>0</v>
      </c>
      <c r="J140" s="62">
        <f>IF(ISNA(VLOOKUP($A140,'KL handicap'!$C$2:$C$37,1,FALSE)),0,VLOOKUP($A140,'KL handicap'!$C$2:$I$37,7,FALSE))</f>
        <v>0</v>
      </c>
      <c r="K140" s="62">
        <f>IF(ISNA(VLOOKUP($A140,'3000m handicap'!$C$2:$C$47,1,FALSE)),0,VLOOKUP($A140,'3000m handicap'!$C$2:$K$47,9,FALSE))</f>
        <v>0</v>
      </c>
      <c r="L140" s="62">
        <f>IF(ISNA(VLOOKUP($A140,'10 km'!$B$2:$B$50,1,FALSE)),0,VLOOKUP($A140,'10 km'!$B$2:$D$50,3,FALSE))</f>
        <v>0</v>
      </c>
      <c r="M140" s="62">
        <f>IF(ISNA(VLOOKUP($A140,'Peter Moor 2000m'!$C$2:$C$30,1,FALSE)),0,VLOOKUP($A140,'Peter Moor 2000m'!$C$2:$I$30,7,FALSE))</f>
        <v>0</v>
      </c>
      <c r="N140" s="62">
        <f>IF(ISNA(VLOOKUP($A140,'Max Howard Tan handicap'!$C$2:$C$23,1,FALSE)),0,VLOOKUP($A140,'Max Howard Tan handicap'!$C$2:$I$23,7,FALSE))</f>
        <v>0</v>
      </c>
      <c r="O140" s="88">
        <f>IF(ISNA(VLOOKUP($A140,parkrun!$B$2:$H$145,1,FALSE)),0,VLOOKUP($A140,parkrun!$B$2:$H$145,7,FALSE))</f>
        <v>6.94</v>
      </c>
      <c r="P140" s="133">
        <f>SUM(F140:O140)</f>
        <v>6.94</v>
      </c>
      <c r="Q140" s="134">
        <f>COUNTIF(F140:O140,"&gt;0")</f>
        <v>1</v>
      </c>
      <c r="R140" s="215">
        <f>SMALL(F140:O140,1)+SMALL(F140:O140,2)</f>
        <v>0</v>
      </c>
      <c r="S140" s="215">
        <f>IF(Q140=1,P140,P140-R140)</f>
        <v>6.94</v>
      </c>
      <c r="T140" s="216">
        <f>RANK(P140,$P$5:$P$230,0)</f>
        <v>136</v>
      </c>
      <c r="U140" s="26">
        <f>RANK(S140,$S$5:$S$230,0)</f>
        <v>136</v>
      </c>
      <c r="V140"/>
      <c r="W140" s="113">
        <v>27800</v>
      </c>
      <c r="Y140" s="45"/>
      <c r="AD140" s="45"/>
    </row>
    <row r="141" spans="1:30" x14ac:dyDescent="0.2">
      <c r="A141" s="46" t="s">
        <v>398</v>
      </c>
      <c r="B141" s="81">
        <v>207</v>
      </c>
      <c r="C141" s="81" t="s">
        <v>233</v>
      </c>
      <c r="D141" s="146">
        <v>31180</v>
      </c>
      <c r="E141" s="81" t="s">
        <v>214</v>
      </c>
      <c r="F141" s="61">
        <f>IF(ISNA(VLOOKUP($A141,'2 Bridges Relay'!$F$2:$F$67,1,FALSE)),0,VLOOKUP($A141,'2 Bridges Relay'!$F$2:$J$67,5,FALSE))</f>
        <v>0</v>
      </c>
      <c r="G141" s="88">
        <f>IF(ISNA(VLOOKUP($A141,'5M''s'!$D$2:$E$27,1,FALSE)),0,VLOOKUP($A141,'5M''s'!$D$2:$E$27,2,FALSE))</f>
        <v>0</v>
      </c>
      <c r="H141" s="62">
        <f>IF(ISNA(VLOOKUP($A141,'Mile handicap'!$C$2:$C$51,1,FALSE)),0,VLOOKUP($A141,'Mile handicap'!$C$2:$K$51,9,FALSE))</f>
        <v>0</v>
      </c>
      <c r="I141" s="62">
        <f>IF(ISNA(VLOOKUP($A141,'5000m handicap'!$C$2:$C$46,1,FALSE)),0,VLOOKUP($A141,'5000m handicap'!$C$2:$K$46,9,FALSE))</f>
        <v>0</v>
      </c>
      <c r="J141" s="62">
        <f>IF(ISNA(VLOOKUP($A141,'KL handicap'!$C$2:$C$37,1,FALSE)),0,VLOOKUP($A141,'KL handicap'!$C$2:$I$37,7,FALSE))</f>
        <v>0</v>
      </c>
      <c r="K141" s="62">
        <f>IF(ISNA(VLOOKUP($A141,'3000m handicap'!$C$2:$C$47,1,FALSE)),0,VLOOKUP($A141,'3000m handicap'!$C$2:$K$47,9,FALSE))</f>
        <v>0</v>
      </c>
      <c r="L141" s="62">
        <f>IF(ISNA(VLOOKUP($A141,'10 km'!$B$2:$B$50,1,FALSE)),0,VLOOKUP($A141,'10 km'!$B$2:$D$50,3,FALSE))</f>
        <v>0</v>
      </c>
      <c r="M141" s="62">
        <f>IF(ISNA(VLOOKUP($A141,'Peter Moor 2000m'!$C$2:$C$30,1,FALSE)),0,VLOOKUP($A141,'Peter Moor 2000m'!$C$2:$I$30,7,FALSE))</f>
        <v>0</v>
      </c>
      <c r="N141" s="62">
        <f>IF(ISNA(VLOOKUP($A141,'Max Howard Tan handicap'!$C$2:$C$23,1,FALSE)),0,VLOOKUP($A141,'Max Howard Tan handicap'!$C$2:$I$23,7,FALSE))</f>
        <v>0</v>
      </c>
      <c r="O141" s="88">
        <f>IF(ISNA(VLOOKUP($A141,parkrun!$B$2:$H$145,1,FALSE)),0,VLOOKUP($A141,parkrun!$B$2:$H$145,7,FALSE))</f>
        <v>5.56</v>
      </c>
      <c r="P141" s="133">
        <f>SUM(F141:O141)</f>
        <v>5.56</v>
      </c>
      <c r="Q141" s="134">
        <f>COUNTIF(F141:O141,"&gt;0")</f>
        <v>1</v>
      </c>
      <c r="R141" s="215">
        <f>SMALL(F141:O141,1)+SMALL(F141:O141,2)</f>
        <v>0</v>
      </c>
      <c r="S141" s="215">
        <f>IF(Q141=1,P141,P141-R141)</f>
        <v>5.56</v>
      </c>
      <c r="T141" s="216">
        <f>RANK(P141,$P$5:$P$230,0)</f>
        <v>137</v>
      </c>
      <c r="U141" s="26">
        <f>RANK(S141,$S$5:$S$230,0)</f>
        <v>137</v>
      </c>
      <c r="V141"/>
      <c r="W141" s="113">
        <v>26125</v>
      </c>
      <c r="Y141" s="45"/>
      <c r="AD141" s="45"/>
    </row>
    <row r="142" spans="1:30" x14ac:dyDescent="0.2">
      <c r="A142" s="46" t="s">
        <v>210</v>
      </c>
      <c r="B142" s="81">
        <v>212</v>
      </c>
      <c r="C142" s="81" t="s">
        <v>233</v>
      </c>
      <c r="D142" s="146">
        <v>26955</v>
      </c>
      <c r="E142" s="81" t="s">
        <v>214</v>
      </c>
      <c r="F142" s="61">
        <f>IF(ISNA(VLOOKUP($A142,'2 Bridges Relay'!$F$2:$F$67,1,FALSE)),0,VLOOKUP($A142,'2 Bridges Relay'!$F$2:$J$67,5,FALSE))</f>
        <v>0</v>
      </c>
      <c r="G142" s="88">
        <f>IF(ISNA(VLOOKUP($A142,'5M''s'!$D$2:$E$27,1,FALSE)),0,VLOOKUP($A142,'5M''s'!$D$2:$E$27,2,FALSE))</f>
        <v>0</v>
      </c>
      <c r="H142" s="62">
        <f>IF(ISNA(VLOOKUP($A142,'Mile handicap'!$C$2:$C$51,1,FALSE)),0,VLOOKUP($A142,'Mile handicap'!$C$2:$K$51,9,FALSE))</f>
        <v>0</v>
      </c>
      <c r="I142" s="62">
        <f>IF(ISNA(VLOOKUP($A142,'5000m handicap'!$C$2:$C$46,1,FALSE)),0,VLOOKUP($A142,'5000m handicap'!$C$2:$K$46,9,FALSE))</f>
        <v>0</v>
      </c>
      <c r="J142" s="62">
        <f>IF(ISNA(VLOOKUP($A142,'KL handicap'!$C$2:$C$37,1,FALSE)),0,VLOOKUP($A142,'KL handicap'!$C$2:$I$37,7,FALSE))</f>
        <v>0</v>
      </c>
      <c r="K142" s="62">
        <f>IF(ISNA(VLOOKUP($A142,'3000m handicap'!$C$2:$C$47,1,FALSE)),0,VLOOKUP($A142,'3000m handicap'!$C$2:$K$47,9,FALSE))</f>
        <v>0</v>
      </c>
      <c r="L142" s="62">
        <f>IF(ISNA(VLOOKUP($A142,'10 km'!$B$2:$B$50,1,FALSE)),0,VLOOKUP($A142,'10 km'!$B$2:$D$50,3,FALSE))</f>
        <v>0</v>
      </c>
      <c r="M142" s="62">
        <f>IF(ISNA(VLOOKUP($A142,'Peter Moor 2000m'!$C$2:$C$30,1,FALSE)),0,VLOOKUP($A142,'Peter Moor 2000m'!$C$2:$I$30,7,FALSE))</f>
        <v>0</v>
      </c>
      <c r="N142" s="62">
        <f>IF(ISNA(VLOOKUP($A142,'Max Howard Tan handicap'!$C$2:$C$23,1,FALSE)),0,VLOOKUP($A142,'Max Howard Tan handicap'!$C$2:$I$23,7,FALSE))</f>
        <v>0</v>
      </c>
      <c r="O142" s="88">
        <f>IF(ISNA(VLOOKUP($A142,parkrun!$B$2:$H$145,1,FALSE)),0,VLOOKUP($A142,parkrun!$B$2:$H$145,7,FALSE))</f>
        <v>3.47</v>
      </c>
      <c r="P142" s="133">
        <f>SUM(F142:O142)</f>
        <v>3.47</v>
      </c>
      <c r="Q142" s="134">
        <f>COUNTIF(F142:O142,"&gt;0")</f>
        <v>1</v>
      </c>
      <c r="R142" s="215">
        <f>SMALL(F142:O142,1)+SMALL(F142:O142,2)</f>
        <v>0</v>
      </c>
      <c r="S142" s="215">
        <f>IF(Q142=1,P142,P142-R142)</f>
        <v>3.47</v>
      </c>
      <c r="T142" s="216">
        <f>RANK(P142,$P$5:$P$230,0)</f>
        <v>138</v>
      </c>
      <c r="U142" s="26">
        <f>RANK(S142,$S$5:$S$230,0)</f>
        <v>138</v>
      </c>
      <c r="V142"/>
      <c r="W142" s="113">
        <v>30828</v>
      </c>
      <c r="Y142" s="45"/>
      <c r="AD142" s="45"/>
    </row>
    <row r="143" spans="1:30" x14ac:dyDescent="0.2">
      <c r="A143" s="46" t="s">
        <v>432</v>
      </c>
      <c r="B143" s="81">
        <v>312</v>
      </c>
      <c r="C143" s="81" t="s">
        <v>233</v>
      </c>
      <c r="D143" s="146">
        <v>30203</v>
      </c>
      <c r="E143" s="81" t="s">
        <v>214</v>
      </c>
      <c r="F143" s="61">
        <f>IF(ISNA(VLOOKUP($A143,'2 Bridges Relay'!$F$2:$F$67,1,FALSE)),0,VLOOKUP($A143,'2 Bridges Relay'!$F$2:$J$67,5,FALSE))</f>
        <v>0</v>
      </c>
      <c r="G143" s="88">
        <f>IF(ISNA(VLOOKUP($A143,'5M''s'!$D$2:$E$27,1,FALSE)),0,VLOOKUP($A143,'5M''s'!$D$2:$E$27,2,FALSE))</f>
        <v>0</v>
      </c>
      <c r="H143" s="62">
        <f>IF(ISNA(VLOOKUP($A143,'Mile handicap'!$C$2:$C$51,1,FALSE)),0,VLOOKUP($A143,'Mile handicap'!$C$2:$K$51,9,FALSE))</f>
        <v>0</v>
      </c>
      <c r="I143" s="62">
        <f>IF(ISNA(VLOOKUP($A143,'5000m handicap'!$C$2:$C$46,1,FALSE)),0,VLOOKUP($A143,'5000m handicap'!$C$2:$K$46,9,FALSE))</f>
        <v>0</v>
      </c>
      <c r="J143" s="62">
        <f>IF(ISNA(VLOOKUP($A143,'KL handicap'!$C$2:$C$37,1,FALSE)),0,VLOOKUP($A143,'KL handicap'!$C$2:$I$37,7,FALSE))</f>
        <v>0</v>
      </c>
      <c r="K143" s="62">
        <f>IF(ISNA(VLOOKUP($A143,'3000m handicap'!$C$2:$C$47,1,FALSE)),0,VLOOKUP($A143,'3000m handicap'!$C$2:$K$47,9,FALSE))</f>
        <v>0</v>
      </c>
      <c r="L143" s="62">
        <f>IF(ISNA(VLOOKUP($A143,'10 km'!$B$2:$B$50,1,FALSE)),0,VLOOKUP($A143,'10 km'!$B$2:$D$50,3,FALSE))</f>
        <v>0</v>
      </c>
      <c r="M143" s="62">
        <f>IF(ISNA(VLOOKUP($A143,'Peter Moor 2000m'!$C$2:$C$30,1,FALSE)),0,VLOOKUP($A143,'Peter Moor 2000m'!$C$2:$I$30,7,FALSE))</f>
        <v>0</v>
      </c>
      <c r="N143" s="62">
        <f>IF(ISNA(VLOOKUP($A143,'Max Howard Tan handicap'!$C$2:$C$23,1,FALSE)),0,VLOOKUP($A143,'Max Howard Tan handicap'!$C$2:$I$23,7,FALSE))</f>
        <v>0</v>
      </c>
      <c r="O143" s="88">
        <f>IF(ISNA(VLOOKUP($A143,parkrun!$B$2:$H$145,1,FALSE)),0,VLOOKUP($A143,parkrun!$B$2:$H$145,7,FALSE))</f>
        <v>2.78</v>
      </c>
      <c r="P143" s="133">
        <f>SUM(F143:O143)</f>
        <v>2.78</v>
      </c>
      <c r="Q143" s="134">
        <f>COUNTIF(F143:O143,"&gt;0")</f>
        <v>1</v>
      </c>
      <c r="R143" s="215">
        <f>SMALL(F143:O143,1)+SMALL(F143:O143,2)</f>
        <v>0</v>
      </c>
      <c r="S143" s="215">
        <f>IF(Q143=1,P143,P143-R143)</f>
        <v>2.78</v>
      </c>
      <c r="T143" s="216">
        <f>RANK(P143,$P$5:$P$230,0)</f>
        <v>139</v>
      </c>
      <c r="U143" s="26">
        <f>RANK(S143,$S$5:$S$230,0)</f>
        <v>139</v>
      </c>
      <c r="W143" s="113">
        <v>28967</v>
      </c>
      <c r="Y143" s="45"/>
      <c r="AD143" s="45"/>
    </row>
    <row r="144" spans="1:30" x14ac:dyDescent="0.2">
      <c r="A144" s="46" t="s">
        <v>70</v>
      </c>
      <c r="B144" s="81">
        <v>33</v>
      </c>
      <c r="C144" s="81" t="s">
        <v>233</v>
      </c>
      <c r="D144" s="146">
        <v>23627</v>
      </c>
      <c r="E144" s="81" t="s">
        <v>196</v>
      </c>
      <c r="F144" s="61">
        <f>IF(ISNA(VLOOKUP($A144,'2 Bridges Relay'!$F$2:$F$67,1,FALSE)),0,VLOOKUP($A144,'2 Bridges Relay'!$F$2:$J$67,5,FALSE))</f>
        <v>0</v>
      </c>
      <c r="G144" s="88">
        <f>IF(ISNA(VLOOKUP($A144,'5M''s'!$D$2:$E$27,1,FALSE)),0,VLOOKUP($A144,'5M''s'!$D$2:$E$27,2,FALSE))</f>
        <v>0</v>
      </c>
      <c r="H144" s="62">
        <f>IF(ISNA(VLOOKUP($A144,'Mile handicap'!$C$2:$C$51,1,FALSE)),0,VLOOKUP($A144,'Mile handicap'!$C$2:$K$51,9,FALSE))</f>
        <v>2.44</v>
      </c>
      <c r="I144" s="62">
        <f>IF(ISNA(VLOOKUP($A144,'5000m handicap'!$C$2:$C$46,1,FALSE)),0,VLOOKUP($A144,'5000m handicap'!$C$2:$K$46,9,FALSE))</f>
        <v>0</v>
      </c>
      <c r="J144" s="62">
        <f>IF(ISNA(VLOOKUP($A144,'KL handicap'!$C$2:$C$37,1,FALSE)),0,VLOOKUP($A144,'KL handicap'!$C$2:$I$37,7,FALSE))</f>
        <v>0</v>
      </c>
      <c r="K144" s="62">
        <f>IF(ISNA(VLOOKUP($A144,'3000m handicap'!$C$2:$C$47,1,FALSE)),0,VLOOKUP($A144,'3000m handicap'!$C$2:$K$47,9,FALSE))</f>
        <v>0</v>
      </c>
      <c r="L144" s="62">
        <f>IF(ISNA(VLOOKUP($A144,'10 km'!$B$2:$B$50,1,FALSE)),0,VLOOKUP($A144,'10 km'!$B$2:$D$50,3,FALSE))</f>
        <v>0</v>
      </c>
      <c r="M144" s="62">
        <f>IF(ISNA(VLOOKUP($A144,'Peter Moor 2000m'!$C$2:$C$30,1,FALSE)),0,VLOOKUP($A144,'Peter Moor 2000m'!$C$2:$I$30,7,FALSE))</f>
        <v>0</v>
      </c>
      <c r="N144" s="62">
        <f>IF(ISNA(VLOOKUP($A144,'Max Howard Tan handicap'!$C$2:$C$23,1,FALSE)),0,VLOOKUP($A144,'Max Howard Tan handicap'!$C$2:$I$23,7,FALSE))</f>
        <v>0</v>
      </c>
      <c r="O144" s="88">
        <f>IF(ISNA(VLOOKUP($A144,parkrun!$B$2:$H$145,1,FALSE)),0,VLOOKUP($A144,parkrun!$B$2:$H$145,7,FALSE))</f>
        <v>0</v>
      </c>
      <c r="P144" s="133">
        <f>SUM(F144:O144)</f>
        <v>2.44</v>
      </c>
      <c r="Q144" s="134">
        <f>COUNTIF(F144:O144,"&gt;0")</f>
        <v>1</v>
      </c>
      <c r="R144" s="215">
        <f>SMALL(F144:O144,1)+SMALL(F144:O144,2)</f>
        <v>0</v>
      </c>
      <c r="S144" s="215">
        <f>IF(Q144=1,P144,P144-R144)</f>
        <v>2.44</v>
      </c>
      <c r="T144" s="216">
        <f>RANK(P144,$P$5:$P$230,0)</f>
        <v>140</v>
      </c>
      <c r="U144" s="26">
        <f>RANK(S144,$S$5:$S$230,0)</f>
        <v>140</v>
      </c>
      <c r="W144" s="113">
        <v>18885</v>
      </c>
      <c r="X144"/>
      <c r="Y144"/>
      <c r="AD144"/>
    </row>
    <row r="145" spans="1:31" x14ac:dyDescent="0.2">
      <c r="A145" s="46" t="s">
        <v>51</v>
      </c>
      <c r="B145" s="81">
        <v>67</v>
      </c>
      <c r="C145" s="81" t="s">
        <v>233</v>
      </c>
      <c r="D145" s="146">
        <v>28903</v>
      </c>
      <c r="E145" s="81" t="s">
        <v>214</v>
      </c>
      <c r="F145" s="61">
        <f>IF(ISNA(VLOOKUP($A145,'2 Bridges Relay'!$F$2:$F$67,1,FALSE)),0,VLOOKUP($A145,'2 Bridges Relay'!$F$2:$J$67,5,FALSE))</f>
        <v>0</v>
      </c>
      <c r="G145" s="88">
        <f>IF(ISNA(VLOOKUP($A145,'5M''s'!$D$2:$E$27,1,FALSE)),0,VLOOKUP($A145,'5M''s'!$D$2:$E$27,2,FALSE))</f>
        <v>0</v>
      </c>
      <c r="H145" s="62">
        <f>IF(ISNA(VLOOKUP($A145,'Mile handicap'!$C$2:$C$51,1,FALSE)),0,VLOOKUP($A145,'Mile handicap'!$C$2:$K$51,9,FALSE))</f>
        <v>0</v>
      </c>
      <c r="I145" s="62">
        <f>IF(ISNA(VLOOKUP($A145,'5000m handicap'!$C$2:$C$46,1,FALSE)),0,VLOOKUP($A145,'5000m handicap'!$C$2:$K$46,9,FALSE))</f>
        <v>0</v>
      </c>
      <c r="J145" s="62">
        <f>IF(ISNA(VLOOKUP($A145,'KL handicap'!$C$2:$C$37,1,FALSE)),0,VLOOKUP($A145,'KL handicap'!$C$2:$I$37,7,FALSE))</f>
        <v>0</v>
      </c>
      <c r="K145" s="62">
        <f>IF(ISNA(VLOOKUP($A145,'3000m handicap'!$C$2:$C$47,1,FALSE)),0,VLOOKUP($A145,'3000m handicap'!$C$2:$K$47,9,FALSE))</f>
        <v>0</v>
      </c>
      <c r="L145" s="62">
        <f>IF(ISNA(VLOOKUP($A145,'10 km'!$B$2:$B$50,1,FALSE)),0,VLOOKUP($A145,'10 km'!$B$2:$D$50,3,FALSE))</f>
        <v>0</v>
      </c>
      <c r="M145" s="62">
        <f>IF(ISNA(VLOOKUP($A145,'Peter Moor 2000m'!$C$2:$C$30,1,FALSE)),0,VLOOKUP($A145,'Peter Moor 2000m'!$C$2:$I$30,7,FALSE))</f>
        <v>0</v>
      </c>
      <c r="N145" s="62">
        <f>IF(ISNA(VLOOKUP($A145,'Max Howard Tan handicap'!$C$2:$C$23,1,FALSE)),0,VLOOKUP($A145,'Max Howard Tan handicap'!$C$2:$I$23,7,FALSE))</f>
        <v>0</v>
      </c>
      <c r="O145" s="88">
        <f>IF(ISNA(VLOOKUP($A145,parkrun!$B$2:$H$145,1,FALSE)),0,VLOOKUP($A145,parkrun!$B$2:$H$145,7,FALSE))</f>
        <v>1.39</v>
      </c>
      <c r="P145" s="133">
        <f>SUM(F145:O145)</f>
        <v>1.39</v>
      </c>
      <c r="Q145" s="134">
        <f>COUNTIF(F145:O145,"&gt;0")</f>
        <v>1</v>
      </c>
      <c r="R145" s="215">
        <f>SMALL(F145:O145,1)+SMALL(F145:O145,2)</f>
        <v>0</v>
      </c>
      <c r="S145" s="215">
        <f>IF(Q145=1,P145,P145-R145)</f>
        <v>1.39</v>
      </c>
      <c r="T145" s="216">
        <f>RANK(P145,$P$5:$P$230,0)</f>
        <v>141</v>
      </c>
      <c r="U145" s="26">
        <f>RANK(S145,$S$5:$S$230,0)</f>
        <v>141</v>
      </c>
      <c r="W145" s="113">
        <v>29356</v>
      </c>
      <c r="X145"/>
      <c r="Y145"/>
      <c r="AD145"/>
    </row>
    <row r="146" spans="1:31" x14ac:dyDescent="0.2">
      <c r="A146" s="46" t="s">
        <v>350</v>
      </c>
      <c r="B146" s="81">
        <v>291</v>
      </c>
      <c r="C146" s="81" t="s">
        <v>233</v>
      </c>
      <c r="D146" s="146">
        <v>30856</v>
      </c>
      <c r="E146" s="81" t="s">
        <v>214</v>
      </c>
      <c r="F146" s="61">
        <f>IF(ISNA(VLOOKUP($A146,'2 Bridges Relay'!$F$2:$F$67,1,FALSE)),0,VLOOKUP($A146,'2 Bridges Relay'!$F$2:$J$67,5,FALSE))</f>
        <v>0</v>
      </c>
      <c r="G146" s="88">
        <f>IF(ISNA(VLOOKUP($A146,'5M''s'!$D$2:$E$27,1,FALSE)),0,VLOOKUP($A146,'5M''s'!$D$2:$E$27,2,FALSE))</f>
        <v>0</v>
      </c>
      <c r="H146" s="62">
        <f>IF(ISNA(VLOOKUP($A146,'Mile handicap'!$C$2:$C$51,1,FALSE)),0,VLOOKUP($A146,'Mile handicap'!$C$2:$K$51,9,FALSE))</f>
        <v>0</v>
      </c>
      <c r="I146" s="62">
        <f>IF(ISNA(VLOOKUP($A146,'5000m handicap'!$C$2:$C$46,1,FALSE)),0,VLOOKUP($A146,'5000m handicap'!$C$2:$K$46,9,FALSE))</f>
        <v>0</v>
      </c>
      <c r="J146" s="62">
        <f>IF(ISNA(VLOOKUP($A146,'KL handicap'!$C$2:$C$37,1,FALSE)),0,VLOOKUP($A146,'KL handicap'!$C$2:$I$37,7,FALSE))</f>
        <v>0</v>
      </c>
      <c r="K146" s="62">
        <f>IF(ISNA(VLOOKUP($A146,'3000m handicap'!$C$2:$C$47,1,FALSE)),0,VLOOKUP($A146,'3000m handicap'!$C$2:$K$47,9,FALSE))</f>
        <v>0</v>
      </c>
      <c r="L146" s="62">
        <f>IF(ISNA(VLOOKUP($A146,'10 km'!$B$2:$B$50,1,FALSE)),0,VLOOKUP($A146,'10 km'!$B$2:$D$50,3,FALSE))</f>
        <v>0</v>
      </c>
      <c r="M146" s="62">
        <f>IF(ISNA(VLOOKUP($A146,'Peter Moor 2000m'!$C$2:$C$30,1,FALSE)),0,VLOOKUP($A146,'Peter Moor 2000m'!$C$2:$I$30,7,FALSE))</f>
        <v>0</v>
      </c>
      <c r="N146" s="62">
        <f>IF(ISNA(VLOOKUP($A146,'Max Howard Tan handicap'!$C$2:$C$23,1,FALSE)),0,VLOOKUP($A146,'Max Howard Tan handicap'!$C$2:$I$23,7,FALSE))</f>
        <v>0</v>
      </c>
      <c r="O146" s="88">
        <f>IF(ISNA(VLOOKUP($A146,parkrun!$B$2:$H$145,1,FALSE)),0,VLOOKUP($A146,parkrun!$B$2:$H$145,7,FALSE))</f>
        <v>0</v>
      </c>
      <c r="P146" s="133">
        <f>SUM(F146:O146)</f>
        <v>0</v>
      </c>
      <c r="Q146" s="134">
        <f>COUNTIF(F146:O146,"&gt;0")</f>
        <v>0</v>
      </c>
      <c r="R146" s="215">
        <f>SMALL(F146:O146,1)+SMALL(F146:O146,2)</f>
        <v>0</v>
      </c>
      <c r="S146" s="215">
        <f>IF(Q146=1,P146,P146-R146)</f>
        <v>0</v>
      </c>
      <c r="T146" s="216">
        <f>RANK(P146,$P$5:$P$230,0)</f>
        <v>142</v>
      </c>
      <c r="U146" s="26">
        <f>RANK(S146,$S$5:$S$230,0)</f>
        <v>142</v>
      </c>
      <c r="W146" s="113">
        <v>31847</v>
      </c>
      <c r="X146"/>
      <c r="Y146"/>
      <c r="AD146"/>
    </row>
    <row r="147" spans="1:31" x14ac:dyDescent="0.2">
      <c r="A147" s="46" t="s">
        <v>445</v>
      </c>
      <c r="B147" s="81">
        <v>319</v>
      </c>
      <c r="C147" s="81" t="s">
        <v>233</v>
      </c>
      <c r="D147" s="146">
        <v>25594</v>
      </c>
      <c r="E147" s="81" t="s">
        <v>214</v>
      </c>
      <c r="F147" s="61">
        <f>IF(ISNA(VLOOKUP($A147,'2 Bridges Relay'!$F$2:$F$67,1,FALSE)),0,VLOOKUP($A147,'2 Bridges Relay'!$F$2:$J$67,5,FALSE))</f>
        <v>0</v>
      </c>
      <c r="G147" s="88">
        <f>IF(ISNA(VLOOKUP($A147,'5M''s'!$D$2:$E$27,1,FALSE)),0,VLOOKUP($A147,'5M''s'!$D$2:$E$27,2,FALSE))</f>
        <v>0</v>
      </c>
      <c r="H147" s="62">
        <f>IF(ISNA(VLOOKUP($A147,'Mile handicap'!$C$2:$C$51,1,FALSE)),0,VLOOKUP($A147,'Mile handicap'!$C$2:$K$51,9,FALSE))</f>
        <v>0</v>
      </c>
      <c r="I147" s="62">
        <f>IF(ISNA(VLOOKUP($A147,'5000m handicap'!$C$2:$C$46,1,FALSE)),0,VLOOKUP($A147,'5000m handicap'!$C$2:$K$46,9,FALSE))</f>
        <v>0</v>
      </c>
      <c r="J147" s="62">
        <f>IF(ISNA(VLOOKUP($A147,'KL handicap'!$C$2:$C$37,1,FALSE)),0,VLOOKUP($A147,'KL handicap'!$C$2:$I$37,7,FALSE))</f>
        <v>0</v>
      </c>
      <c r="K147" s="62">
        <f>IF(ISNA(VLOOKUP($A147,'3000m handicap'!$C$2:$C$47,1,FALSE)),0,VLOOKUP($A147,'3000m handicap'!$C$2:$K$47,9,FALSE))</f>
        <v>0</v>
      </c>
      <c r="L147" s="62">
        <f>IF(ISNA(VLOOKUP($A147,'10 km'!$B$2:$B$50,1,FALSE)),0,VLOOKUP($A147,'10 km'!$B$2:$D$50,3,FALSE))</f>
        <v>0</v>
      </c>
      <c r="M147" s="62">
        <f>IF(ISNA(VLOOKUP($A147,'Peter Moor 2000m'!$C$2:$C$30,1,FALSE)),0,VLOOKUP($A147,'Peter Moor 2000m'!$C$2:$I$30,7,FALSE))</f>
        <v>0</v>
      </c>
      <c r="N147" s="62">
        <f>IF(ISNA(VLOOKUP($A147,'Max Howard Tan handicap'!$C$2:$C$23,1,FALSE)),0,VLOOKUP($A147,'Max Howard Tan handicap'!$C$2:$I$23,7,FALSE))</f>
        <v>0</v>
      </c>
      <c r="O147" s="88">
        <f>IF(ISNA(VLOOKUP($A147,parkrun!$B$2:$H$145,1,FALSE)),0,VLOOKUP($A147,parkrun!$B$2:$H$145,7,FALSE))</f>
        <v>0</v>
      </c>
      <c r="P147" s="133">
        <f>SUM(F147:O147)</f>
        <v>0</v>
      </c>
      <c r="Q147" s="134">
        <f>COUNTIF(F147:O147,"&gt;0")</f>
        <v>0</v>
      </c>
      <c r="R147" s="215">
        <f>SMALL(F147:O147,1)+SMALL(F147:O147,2)</f>
        <v>0</v>
      </c>
      <c r="S147" s="215">
        <f>IF(Q147=1,P147,P147-R147)</f>
        <v>0</v>
      </c>
      <c r="T147" s="216">
        <f>RANK(P147,$P$5:$P$230,0)</f>
        <v>142</v>
      </c>
      <c r="U147" s="26">
        <f>RANK(S147,$S$5:$S$230,0)</f>
        <v>142</v>
      </c>
      <c r="W147" s="113">
        <v>24523</v>
      </c>
      <c r="X147"/>
      <c r="Y147"/>
      <c r="AD147"/>
    </row>
    <row r="148" spans="1:31" x14ac:dyDescent="0.2">
      <c r="A148" s="46" t="s">
        <v>354</v>
      </c>
      <c r="B148" s="81">
        <v>294</v>
      </c>
      <c r="C148" s="81" t="s">
        <v>233</v>
      </c>
      <c r="D148" s="146">
        <v>28088</v>
      </c>
      <c r="E148" s="81" t="s">
        <v>214</v>
      </c>
      <c r="F148" s="61">
        <f>IF(ISNA(VLOOKUP($A148,'2 Bridges Relay'!$F$2:$F$67,1,FALSE)),0,VLOOKUP($A148,'2 Bridges Relay'!$F$2:$J$67,5,FALSE))</f>
        <v>0</v>
      </c>
      <c r="G148" s="88">
        <f>IF(ISNA(VLOOKUP($A148,'5M''s'!$D$2:$E$27,1,FALSE)),0,VLOOKUP($A148,'5M''s'!$D$2:$E$27,2,FALSE))</f>
        <v>0</v>
      </c>
      <c r="H148" s="62">
        <f>IF(ISNA(VLOOKUP($A148,'Mile handicap'!$C$2:$C$51,1,FALSE)),0,VLOOKUP($A148,'Mile handicap'!$C$2:$K$51,9,FALSE))</f>
        <v>0</v>
      </c>
      <c r="I148" s="62">
        <f>IF(ISNA(VLOOKUP($A148,'5000m handicap'!$C$2:$C$46,1,FALSE)),0,VLOOKUP($A148,'5000m handicap'!$C$2:$K$46,9,FALSE))</f>
        <v>0</v>
      </c>
      <c r="J148" s="62">
        <f>IF(ISNA(VLOOKUP($A148,'KL handicap'!$C$2:$C$37,1,FALSE)),0,VLOOKUP($A148,'KL handicap'!$C$2:$I$37,7,FALSE))</f>
        <v>0</v>
      </c>
      <c r="K148" s="62">
        <f>IF(ISNA(VLOOKUP($A148,'3000m handicap'!$C$2:$C$47,1,FALSE)),0,VLOOKUP($A148,'3000m handicap'!$C$2:$K$47,9,FALSE))</f>
        <v>0</v>
      </c>
      <c r="L148" s="62">
        <f>IF(ISNA(VLOOKUP($A148,'10 km'!$B$2:$B$50,1,FALSE)),0,VLOOKUP($A148,'10 km'!$B$2:$D$50,3,FALSE))</f>
        <v>0</v>
      </c>
      <c r="M148" s="62">
        <f>IF(ISNA(VLOOKUP($A148,'Peter Moor 2000m'!$C$2:$C$30,1,FALSE)),0,VLOOKUP($A148,'Peter Moor 2000m'!$C$2:$I$30,7,FALSE))</f>
        <v>0</v>
      </c>
      <c r="N148" s="62">
        <f>IF(ISNA(VLOOKUP($A148,'Max Howard Tan handicap'!$C$2:$C$23,1,FALSE)),0,VLOOKUP($A148,'Max Howard Tan handicap'!$C$2:$I$23,7,FALSE))</f>
        <v>0</v>
      </c>
      <c r="O148" s="88">
        <f>IF(ISNA(VLOOKUP($A148,parkrun!$B$2:$H$145,1,FALSE)),0,VLOOKUP($A148,parkrun!$B$2:$H$145,7,FALSE))</f>
        <v>0</v>
      </c>
      <c r="P148" s="133">
        <f>SUM(F148:O148)</f>
        <v>0</v>
      </c>
      <c r="Q148" s="134">
        <f>COUNTIF(F148:O148,"&gt;0")</f>
        <v>0</v>
      </c>
      <c r="R148" s="215">
        <f>SMALL(F148:O148,1)+SMALL(F148:O148,2)</f>
        <v>0</v>
      </c>
      <c r="S148" s="215">
        <f>IF(Q148=1,P148,P148-R148)</f>
        <v>0</v>
      </c>
      <c r="T148" s="216">
        <f>RANK(P148,$P$5:$P$230,0)</f>
        <v>142</v>
      </c>
      <c r="U148" s="26">
        <f>RANK(S148,$S$5:$S$230,0)</f>
        <v>142</v>
      </c>
      <c r="W148" s="113">
        <v>24690</v>
      </c>
      <c r="X148"/>
      <c r="Y148"/>
      <c r="AD148"/>
    </row>
    <row r="149" spans="1:31" x14ac:dyDescent="0.2">
      <c r="A149" s="46" t="s">
        <v>167</v>
      </c>
      <c r="B149" s="81">
        <v>181</v>
      </c>
      <c r="C149" s="81" t="s">
        <v>233</v>
      </c>
      <c r="D149" s="146">
        <v>28528</v>
      </c>
      <c r="E149" s="81" t="s">
        <v>214</v>
      </c>
      <c r="F149" s="61">
        <f>IF(ISNA(VLOOKUP($A149,'2 Bridges Relay'!$F$2:$F$67,1,FALSE)),0,VLOOKUP($A149,'2 Bridges Relay'!$F$2:$J$67,5,FALSE))</f>
        <v>0</v>
      </c>
      <c r="G149" s="88">
        <f>IF(ISNA(VLOOKUP($A149,'5M''s'!$D$2:$E$27,1,FALSE)),0,VLOOKUP($A149,'5M''s'!$D$2:$E$27,2,FALSE))</f>
        <v>0</v>
      </c>
      <c r="H149" s="62">
        <f>IF(ISNA(VLOOKUP($A149,'Mile handicap'!$C$2:$C$51,1,FALSE)),0,VLOOKUP($A149,'Mile handicap'!$C$2:$K$51,9,FALSE))</f>
        <v>0</v>
      </c>
      <c r="I149" s="62">
        <f>IF(ISNA(VLOOKUP($A149,'5000m handicap'!$C$2:$C$46,1,FALSE)),0,VLOOKUP($A149,'5000m handicap'!$C$2:$K$46,9,FALSE))</f>
        <v>0</v>
      </c>
      <c r="J149" s="62">
        <f>IF(ISNA(VLOOKUP($A149,'KL handicap'!$C$2:$C$37,1,FALSE)),0,VLOOKUP($A149,'KL handicap'!$C$2:$I$37,7,FALSE))</f>
        <v>0</v>
      </c>
      <c r="K149" s="62">
        <f>IF(ISNA(VLOOKUP($A149,'3000m handicap'!$C$2:$C$47,1,FALSE)),0,VLOOKUP($A149,'3000m handicap'!$C$2:$K$47,9,FALSE))</f>
        <v>0</v>
      </c>
      <c r="L149" s="62">
        <f>IF(ISNA(VLOOKUP($A149,'10 km'!$B$2:$B$50,1,FALSE)),0,VLOOKUP($A149,'10 km'!$B$2:$D$50,3,FALSE))</f>
        <v>0</v>
      </c>
      <c r="M149" s="62">
        <f>IF(ISNA(VLOOKUP($A149,'Peter Moor 2000m'!$C$2:$C$30,1,FALSE)),0,VLOOKUP($A149,'Peter Moor 2000m'!$C$2:$I$30,7,FALSE))</f>
        <v>0</v>
      </c>
      <c r="N149" s="62">
        <f>IF(ISNA(VLOOKUP($A149,'Max Howard Tan handicap'!$C$2:$C$23,1,FALSE)),0,VLOOKUP($A149,'Max Howard Tan handicap'!$C$2:$I$23,7,FALSE))</f>
        <v>0</v>
      </c>
      <c r="O149" s="88">
        <f>IF(ISNA(VLOOKUP($A149,parkrun!$B$2:$H$145,1,FALSE)),0,VLOOKUP($A149,parkrun!$B$2:$H$145,7,FALSE))</f>
        <v>0</v>
      </c>
      <c r="P149" s="133">
        <f>SUM(F149:O149)</f>
        <v>0</v>
      </c>
      <c r="Q149" s="134">
        <f>COUNTIF(F149:O149,"&gt;0")</f>
        <v>0</v>
      </c>
      <c r="R149" s="215">
        <f>SMALL(F149:O149,1)+SMALL(F149:O149,2)</f>
        <v>0</v>
      </c>
      <c r="S149" s="215">
        <f>IF(Q149=1,P149,P149-R149)</f>
        <v>0</v>
      </c>
      <c r="T149" s="216">
        <f>RANK(P149,$P$5:$P$230,0)</f>
        <v>142</v>
      </c>
      <c r="U149" s="26">
        <f>RANK(S149,$S$5:$S$230,0)</f>
        <v>142</v>
      </c>
      <c r="W149" s="113">
        <v>24709</v>
      </c>
      <c r="X149"/>
      <c r="Y149"/>
      <c r="AD149"/>
    </row>
    <row r="150" spans="1:31" x14ac:dyDescent="0.2">
      <c r="A150" s="46" t="s">
        <v>50</v>
      </c>
      <c r="B150" s="81">
        <v>49</v>
      </c>
      <c r="C150" s="81" t="s">
        <v>233</v>
      </c>
      <c r="D150" s="146">
        <v>25386</v>
      </c>
      <c r="E150" s="81" t="s">
        <v>214</v>
      </c>
      <c r="F150" s="61">
        <f>IF(ISNA(VLOOKUP($A150,'2 Bridges Relay'!$F$2:$F$67,1,FALSE)),0,VLOOKUP($A150,'2 Bridges Relay'!$F$2:$J$67,5,FALSE))</f>
        <v>0</v>
      </c>
      <c r="G150" s="88">
        <f>IF(ISNA(VLOOKUP($A150,'5M''s'!$D$2:$E$27,1,FALSE)),0,VLOOKUP($A150,'5M''s'!$D$2:$E$27,2,FALSE))</f>
        <v>0</v>
      </c>
      <c r="H150" s="62">
        <f>IF(ISNA(VLOOKUP($A150,'Mile handicap'!$C$2:$C$51,1,FALSE)),0,VLOOKUP($A150,'Mile handicap'!$C$2:$K$51,9,FALSE))</f>
        <v>0</v>
      </c>
      <c r="I150" s="62">
        <f>IF(ISNA(VLOOKUP($A150,'5000m handicap'!$C$2:$C$46,1,FALSE)),0,VLOOKUP($A150,'5000m handicap'!$C$2:$K$46,9,FALSE))</f>
        <v>0</v>
      </c>
      <c r="J150" s="62">
        <f>IF(ISNA(VLOOKUP($A150,'KL handicap'!$C$2:$C$37,1,FALSE)),0,VLOOKUP($A150,'KL handicap'!$C$2:$I$37,7,FALSE))</f>
        <v>0</v>
      </c>
      <c r="K150" s="62">
        <f>IF(ISNA(VLOOKUP($A150,'3000m handicap'!$C$2:$C$47,1,FALSE)),0,VLOOKUP($A150,'3000m handicap'!$C$2:$K$47,9,FALSE))</f>
        <v>0</v>
      </c>
      <c r="L150" s="62">
        <f>IF(ISNA(VLOOKUP($A150,'10 km'!$B$2:$B$50,1,FALSE)),0,VLOOKUP($A150,'10 km'!$B$2:$D$50,3,FALSE))</f>
        <v>0</v>
      </c>
      <c r="M150" s="62">
        <f>IF(ISNA(VLOOKUP($A150,'Peter Moor 2000m'!$C$2:$C$30,1,FALSE)),0,VLOOKUP($A150,'Peter Moor 2000m'!$C$2:$I$30,7,FALSE))</f>
        <v>0</v>
      </c>
      <c r="N150" s="62">
        <f>IF(ISNA(VLOOKUP($A150,'Max Howard Tan handicap'!$C$2:$C$23,1,FALSE)),0,VLOOKUP($A150,'Max Howard Tan handicap'!$C$2:$I$23,7,FALSE))</f>
        <v>0</v>
      </c>
      <c r="O150" s="88">
        <f>IF(ISNA(VLOOKUP($A150,parkrun!$B$2:$H$145,1,FALSE)),0,VLOOKUP($A150,parkrun!$B$2:$H$145,7,FALSE))</f>
        <v>0</v>
      </c>
      <c r="P150" s="133">
        <f>SUM(F150:O150)</f>
        <v>0</v>
      </c>
      <c r="Q150" s="134">
        <f>COUNTIF(F150:O150,"&gt;0")</f>
        <v>0</v>
      </c>
      <c r="R150" s="215">
        <f>SMALL(F150:O150,1)+SMALL(F150:O150,2)</f>
        <v>0</v>
      </c>
      <c r="S150" s="215">
        <f>IF(Q150=1,P150,P150-R150)</f>
        <v>0</v>
      </c>
      <c r="T150" s="216">
        <f>RANK(P150,$P$5:$P$230,0)</f>
        <v>142</v>
      </c>
      <c r="U150" s="26">
        <f>RANK(S150,$S$5:$S$230,0)</f>
        <v>142</v>
      </c>
      <c r="W150" s="113">
        <v>29334</v>
      </c>
      <c r="X150"/>
      <c r="Y150"/>
      <c r="Z150"/>
      <c r="AD150"/>
      <c r="AE150"/>
    </row>
    <row r="151" spans="1:31" x14ac:dyDescent="0.2">
      <c r="A151" s="46" t="s">
        <v>356</v>
      </c>
      <c r="B151" s="81">
        <v>295</v>
      </c>
      <c r="C151" s="81" t="s">
        <v>233</v>
      </c>
      <c r="D151" s="146">
        <v>27389</v>
      </c>
      <c r="E151" s="81" t="s">
        <v>214</v>
      </c>
      <c r="F151" s="61">
        <f>IF(ISNA(VLOOKUP($A151,'2 Bridges Relay'!$F$2:$F$67,1,FALSE)),0,VLOOKUP($A151,'2 Bridges Relay'!$F$2:$J$67,5,FALSE))</f>
        <v>0</v>
      </c>
      <c r="G151" s="88">
        <f>IF(ISNA(VLOOKUP($A151,'5M''s'!$D$2:$E$27,1,FALSE)),0,VLOOKUP($A151,'5M''s'!$D$2:$E$27,2,FALSE))</f>
        <v>0</v>
      </c>
      <c r="H151" s="62">
        <f>IF(ISNA(VLOOKUP($A151,'Mile handicap'!$C$2:$C$51,1,FALSE)),0,VLOOKUP($A151,'Mile handicap'!$C$2:$K$51,9,FALSE))</f>
        <v>0</v>
      </c>
      <c r="I151" s="62">
        <f>IF(ISNA(VLOOKUP($A151,'5000m handicap'!$C$2:$C$46,1,FALSE)),0,VLOOKUP($A151,'5000m handicap'!$C$2:$K$46,9,FALSE))</f>
        <v>0</v>
      </c>
      <c r="J151" s="62">
        <f>IF(ISNA(VLOOKUP($A151,'KL handicap'!$C$2:$C$37,1,FALSE)),0,VLOOKUP($A151,'KL handicap'!$C$2:$I$37,7,FALSE))</f>
        <v>0</v>
      </c>
      <c r="K151" s="62">
        <f>IF(ISNA(VLOOKUP($A151,'3000m handicap'!$C$2:$C$47,1,FALSE)),0,VLOOKUP($A151,'3000m handicap'!$C$2:$K$47,9,FALSE))</f>
        <v>0</v>
      </c>
      <c r="L151" s="62">
        <f>IF(ISNA(VLOOKUP($A151,'10 km'!$B$2:$B$50,1,FALSE)),0,VLOOKUP($A151,'10 km'!$B$2:$D$50,3,FALSE))</f>
        <v>0</v>
      </c>
      <c r="M151" s="62">
        <f>IF(ISNA(VLOOKUP($A151,'Peter Moor 2000m'!$C$2:$C$30,1,FALSE)),0,VLOOKUP($A151,'Peter Moor 2000m'!$C$2:$I$30,7,FALSE))</f>
        <v>0</v>
      </c>
      <c r="N151" s="62">
        <f>IF(ISNA(VLOOKUP($A151,'Max Howard Tan handicap'!$C$2:$C$23,1,FALSE)),0,VLOOKUP($A151,'Max Howard Tan handicap'!$C$2:$I$23,7,FALSE))</f>
        <v>0</v>
      </c>
      <c r="O151" s="88">
        <f>IF(ISNA(VLOOKUP($A151,parkrun!$B$2:$H$145,1,FALSE)),0,VLOOKUP($A151,parkrun!$B$2:$H$145,7,FALSE))</f>
        <v>0</v>
      </c>
      <c r="P151" s="133">
        <f>SUM(F151:O151)</f>
        <v>0</v>
      </c>
      <c r="Q151" s="134">
        <f>COUNTIF(F151:O151,"&gt;0")</f>
        <v>0</v>
      </c>
      <c r="R151" s="215">
        <f>SMALL(F151:O151,1)+SMALL(F151:O151,2)</f>
        <v>0</v>
      </c>
      <c r="S151" s="215">
        <f>IF(Q151=1,P151,P151-R151)</f>
        <v>0</v>
      </c>
      <c r="T151" s="216">
        <f>RANK(P151,$P$5:$P$230,0)</f>
        <v>142</v>
      </c>
      <c r="U151" s="26">
        <f>RANK(S151,$S$5:$S$230,0)</f>
        <v>142</v>
      </c>
      <c r="W151" s="113">
        <v>31244</v>
      </c>
      <c r="X151"/>
      <c r="Y151"/>
      <c r="Z151"/>
      <c r="AD151"/>
      <c r="AE151"/>
    </row>
    <row r="152" spans="1:31" x14ac:dyDescent="0.2">
      <c r="A152" s="46" t="s">
        <v>357</v>
      </c>
      <c r="B152" s="81">
        <v>296</v>
      </c>
      <c r="C152" s="81" t="s">
        <v>233</v>
      </c>
      <c r="D152" s="146">
        <v>28387</v>
      </c>
      <c r="E152" s="81" t="s">
        <v>214</v>
      </c>
      <c r="F152" s="61">
        <f>IF(ISNA(VLOOKUP($A152,'2 Bridges Relay'!$F$2:$F$67,1,FALSE)),0,VLOOKUP($A152,'2 Bridges Relay'!$F$2:$J$67,5,FALSE))</f>
        <v>0</v>
      </c>
      <c r="G152" s="88">
        <f>IF(ISNA(VLOOKUP($A152,'5M''s'!$D$2:$E$27,1,FALSE)),0,VLOOKUP($A152,'5M''s'!$D$2:$E$27,2,FALSE))</f>
        <v>0</v>
      </c>
      <c r="H152" s="62">
        <f>IF(ISNA(VLOOKUP($A152,'Mile handicap'!$C$2:$C$51,1,FALSE)),0,VLOOKUP($A152,'Mile handicap'!$C$2:$K$51,9,FALSE))</f>
        <v>0</v>
      </c>
      <c r="I152" s="62">
        <f>IF(ISNA(VLOOKUP($A152,'5000m handicap'!$C$2:$C$46,1,FALSE)),0,VLOOKUP($A152,'5000m handicap'!$C$2:$K$46,9,FALSE))</f>
        <v>0</v>
      </c>
      <c r="J152" s="62">
        <f>IF(ISNA(VLOOKUP($A152,'KL handicap'!$C$2:$C$37,1,FALSE)),0,VLOOKUP($A152,'KL handicap'!$C$2:$I$37,7,FALSE))</f>
        <v>0</v>
      </c>
      <c r="K152" s="62">
        <f>IF(ISNA(VLOOKUP($A152,'3000m handicap'!$C$2:$C$47,1,FALSE)),0,VLOOKUP($A152,'3000m handicap'!$C$2:$K$47,9,FALSE))</f>
        <v>0</v>
      </c>
      <c r="L152" s="62">
        <f>IF(ISNA(VLOOKUP($A152,'10 km'!$B$2:$B$50,1,FALSE)),0,VLOOKUP($A152,'10 km'!$B$2:$D$50,3,FALSE))</f>
        <v>0</v>
      </c>
      <c r="M152" s="62">
        <f>IF(ISNA(VLOOKUP($A152,'Peter Moor 2000m'!$C$2:$C$30,1,FALSE)),0,VLOOKUP($A152,'Peter Moor 2000m'!$C$2:$I$30,7,FALSE))</f>
        <v>0</v>
      </c>
      <c r="N152" s="62">
        <f>IF(ISNA(VLOOKUP($A152,'Max Howard Tan handicap'!$C$2:$C$23,1,FALSE)),0,VLOOKUP($A152,'Max Howard Tan handicap'!$C$2:$I$23,7,FALSE))</f>
        <v>0</v>
      </c>
      <c r="O152" s="88">
        <f>IF(ISNA(VLOOKUP($A152,parkrun!$B$2:$H$145,1,FALSE)),0,VLOOKUP($A152,parkrun!$B$2:$H$145,7,FALSE))</f>
        <v>0</v>
      </c>
      <c r="P152" s="133">
        <f>SUM(F152:O152)</f>
        <v>0</v>
      </c>
      <c r="Q152" s="134">
        <f>COUNTIF(F152:O152,"&gt;0")</f>
        <v>0</v>
      </c>
      <c r="R152" s="215">
        <f>SMALL(F152:O152,1)+SMALL(F152:O152,2)</f>
        <v>0</v>
      </c>
      <c r="S152" s="215">
        <f>IF(Q152=1,P152,P152-R152)</f>
        <v>0</v>
      </c>
      <c r="T152" s="216">
        <f>RANK(P152,$P$5:$P$230,0)</f>
        <v>142</v>
      </c>
      <c r="U152" s="26">
        <f>RANK(S152,$S$5:$S$230,0)</f>
        <v>142</v>
      </c>
      <c r="W152" s="113">
        <v>25449</v>
      </c>
      <c r="X152"/>
      <c r="Y152"/>
      <c r="Z152"/>
      <c r="AD152"/>
      <c r="AE152"/>
    </row>
    <row r="153" spans="1:31" x14ac:dyDescent="0.2">
      <c r="A153" s="46" t="s">
        <v>666</v>
      </c>
      <c r="B153" s="81">
        <v>331</v>
      </c>
      <c r="C153" s="81" t="s">
        <v>233</v>
      </c>
      <c r="D153" s="146">
        <v>28108</v>
      </c>
      <c r="E153" s="81" t="s">
        <v>214</v>
      </c>
      <c r="F153" s="61">
        <f>IF(ISNA(VLOOKUP($A153,'2 Bridges Relay'!$F$2:$F$67,1,FALSE)),0,VLOOKUP($A153,'2 Bridges Relay'!$F$2:$J$67,5,FALSE))</f>
        <v>0</v>
      </c>
      <c r="G153" s="88">
        <f>IF(ISNA(VLOOKUP($A153,'5M''s'!$D$2:$E$27,1,FALSE)),0,VLOOKUP($A153,'5M''s'!$D$2:$E$27,2,FALSE))</f>
        <v>0</v>
      </c>
      <c r="H153" s="62">
        <f>IF(ISNA(VLOOKUP($A153,'Mile handicap'!$C$2:$C$51,1,FALSE)),0,VLOOKUP($A153,'Mile handicap'!$C$2:$K$51,9,FALSE))</f>
        <v>0</v>
      </c>
      <c r="I153" s="62">
        <f>IF(ISNA(VLOOKUP($A153,'5000m handicap'!$C$2:$C$46,1,FALSE)),0,VLOOKUP($A153,'5000m handicap'!$C$2:$K$46,9,FALSE))</f>
        <v>0</v>
      </c>
      <c r="J153" s="62">
        <f>IF(ISNA(VLOOKUP($A153,'KL handicap'!$C$2:$C$37,1,FALSE)),0,VLOOKUP($A153,'KL handicap'!$C$2:$I$37,7,FALSE))</f>
        <v>0</v>
      </c>
      <c r="K153" s="62">
        <f>IF(ISNA(VLOOKUP($A153,'3000m handicap'!$C$2:$C$47,1,FALSE)),0,VLOOKUP($A153,'3000m handicap'!$C$2:$K$47,9,FALSE))</f>
        <v>0</v>
      </c>
      <c r="L153" s="62">
        <f>IF(ISNA(VLOOKUP($A153,'10 km'!$B$2:$B$50,1,FALSE)),0,VLOOKUP($A153,'10 km'!$B$2:$D$50,3,FALSE))</f>
        <v>0</v>
      </c>
      <c r="M153" s="62">
        <f>IF(ISNA(VLOOKUP($A153,'Peter Moor 2000m'!$C$2:$C$30,1,FALSE)),0,VLOOKUP($A153,'Peter Moor 2000m'!$C$2:$I$30,7,FALSE))</f>
        <v>0</v>
      </c>
      <c r="N153" s="62">
        <f>IF(ISNA(VLOOKUP($A153,'Max Howard Tan handicap'!$C$2:$C$23,1,FALSE)),0,VLOOKUP($A153,'Max Howard Tan handicap'!$C$2:$I$23,7,FALSE))</f>
        <v>0</v>
      </c>
      <c r="O153" s="88">
        <f>IF(ISNA(VLOOKUP($A153,parkrun!$B$2:$H$145,1,FALSE)),0,VLOOKUP($A153,parkrun!$B$2:$H$145,7,FALSE))</f>
        <v>0</v>
      </c>
      <c r="P153" s="133">
        <f>SUM(F153:O153)</f>
        <v>0</v>
      </c>
      <c r="Q153" s="134">
        <f>COUNTIF(F153:O153,"&gt;0")</f>
        <v>0</v>
      </c>
      <c r="R153" s="215">
        <f>SMALL(F153:O153,1)+SMALL(F153:O153,2)</f>
        <v>0</v>
      </c>
      <c r="S153" s="215">
        <f>IF(Q153=1,P153,P153-R153)</f>
        <v>0</v>
      </c>
      <c r="T153" s="216">
        <f>RANK(P153,$P$5:$P$230,0)</f>
        <v>142</v>
      </c>
      <c r="U153" s="26">
        <f>RANK(S153,$S$5:$S$230,0)</f>
        <v>142</v>
      </c>
      <c r="W153" s="113">
        <v>28184</v>
      </c>
      <c r="X153"/>
      <c r="Y153"/>
      <c r="Z153"/>
      <c r="AD153"/>
      <c r="AE153"/>
    </row>
    <row r="154" spans="1:31" x14ac:dyDescent="0.2">
      <c r="A154" s="46" t="s">
        <v>295</v>
      </c>
      <c r="B154" s="81">
        <v>267</v>
      </c>
      <c r="C154" s="81" t="s">
        <v>233</v>
      </c>
      <c r="D154" s="146">
        <v>29148</v>
      </c>
      <c r="E154" s="81" t="s">
        <v>214</v>
      </c>
      <c r="F154" s="61">
        <f>IF(ISNA(VLOOKUP($A154,'2 Bridges Relay'!$F$2:$F$67,1,FALSE)),0,VLOOKUP($A154,'2 Bridges Relay'!$F$2:$J$67,5,FALSE))</f>
        <v>0</v>
      </c>
      <c r="G154" s="88">
        <f>IF(ISNA(VLOOKUP($A154,'5M''s'!$D$2:$E$27,1,FALSE)),0,VLOOKUP($A154,'5M''s'!$D$2:$E$27,2,FALSE))</f>
        <v>0</v>
      </c>
      <c r="H154" s="62">
        <f>IF(ISNA(VLOOKUP($A154,'Mile handicap'!$C$2:$C$51,1,FALSE)),0,VLOOKUP($A154,'Mile handicap'!$C$2:$K$51,9,FALSE))</f>
        <v>0</v>
      </c>
      <c r="I154" s="62">
        <f>IF(ISNA(VLOOKUP($A154,'5000m handicap'!$C$2:$C$46,1,FALSE)),0,VLOOKUP($A154,'5000m handicap'!$C$2:$K$46,9,FALSE))</f>
        <v>0</v>
      </c>
      <c r="J154" s="62">
        <f>IF(ISNA(VLOOKUP($A154,'KL handicap'!$C$2:$C$37,1,FALSE)),0,VLOOKUP($A154,'KL handicap'!$C$2:$I$37,7,FALSE))</f>
        <v>0</v>
      </c>
      <c r="K154" s="62">
        <f>IF(ISNA(VLOOKUP($A154,'3000m handicap'!$C$2:$C$47,1,FALSE)),0,VLOOKUP($A154,'3000m handicap'!$C$2:$K$47,9,FALSE))</f>
        <v>0</v>
      </c>
      <c r="L154" s="62">
        <f>IF(ISNA(VLOOKUP($A154,'10 km'!$B$2:$B$50,1,FALSE)),0,VLOOKUP($A154,'10 km'!$B$2:$D$50,3,FALSE))</f>
        <v>0</v>
      </c>
      <c r="M154" s="62">
        <f>IF(ISNA(VLOOKUP($A154,'Peter Moor 2000m'!$C$2:$C$30,1,FALSE)),0,VLOOKUP($A154,'Peter Moor 2000m'!$C$2:$I$30,7,FALSE))</f>
        <v>0</v>
      </c>
      <c r="N154" s="62">
        <f>IF(ISNA(VLOOKUP($A154,'Max Howard Tan handicap'!$C$2:$C$23,1,FALSE)),0,VLOOKUP($A154,'Max Howard Tan handicap'!$C$2:$I$23,7,FALSE))</f>
        <v>0</v>
      </c>
      <c r="O154" s="88">
        <f>IF(ISNA(VLOOKUP($A154,parkrun!$B$2:$H$145,1,FALSE)),0,VLOOKUP($A154,parkrun!$B$2:$H$145,7,FALSE))</f>
        <v>0</v>
      </c>
      <c r="P154" s="133">
        <f>SUM(F154:O154)</f>
        <v>0</v>
      </c>
      <c r="Q154" s="134">
        <f>COUNTIF(F154:O154,"&gt;0")</f>
        <v>0</v>
      </c>
      <c r="R154" s="215">
        <f>SMALL(F154:O154,1)+SMALL(F154:O154,2)</f>
        <v>0</v>
      </c>
      <c r="S154" s="215">
        <f>IF(Q154=1,P154,P154-R154)</f>
        <v>0</v>
      </c>
      <c r="T154" s="216">
        <f>RANK(P154,$P$5:$P$230,0)</f>
        <v>142</v>
      </c>
      <c r="U154" s="26">
        <f>RANK(S154,$S$5:$S$230,0)</f>
        <v>142</v>
      </c>
      <c r="W154" s="113">
        <v>25523</v>
      </c>
      <c r="X154"/>
      <c r="Y154"/>
      <c r="Z154"/>
      <c r="AD154"/>
      <c r="AE154"/>
    </row>
    <row r="155" spans="1:31" x14ac:dyDescent="0.2">
      <c r="A155" s="46" t="s">
        <v>340</v>
      </c>
      <c r="B155" s="81">
        <v>275</v>
      </c>
      <c r="C155" s="81" t="s">
        <v>233</v>
      </c>
      <c r="D155" s="146">
        <v>27056</v>
      </c>
      <c r="E155" s="81" t="s">
        <v>214</v>
      </c>
      <c r="F155" s="61">
        <f>IF(ISNA(VLOOKUP($A155,'2 Bridges Relay'!$F$2:$F$67,1,FALSE)),0,VLOOKUP($A155,'2 Bridges Relay'!$F$2:$J$67,5,FALSE))</f>
        <v>0</v>
      </c>
      <c r="G155" s="88">
        <f>IF(ISNA(VLOOKUP($A155,'5M''s'!$D$2:$E$27,1,FALSE)),0,VLOOKUP($A155,'5M''s'!$D$2:$E$27,2,FALSE))</f>
        <v>0</v>
      </c>
      <c r="H155" s="62">
        <f>IF(ISNA(VLOOKUP($A155,'Mile handicap'!$C$2:$C$51,1,FALSE)),0,VLOOKUP($A155,'Mile handicap'!$C$2:$K$51,9,FALSE))</f>
        <v>0</v>
      </c>
      <c r="I155" s="62">
        <f>IF(ISNA(VLOOKUP($A155,'5000m handicap'!$C$2:$C$46,1,FALSE)),0,VLOOKUP($A155,'5000m handicap'!$C$2:$K$46,9,FALSE))</f>
        <v>0</v>
      </c>
      <c r="J155" s="62">
        <f>IF(ISNA(VLOOKUP($A155,'KL handicap'!$C$2:$C$37,1,FALSE)),0,VLOOKUP($A155,'KL handicap'!$C$2:$I$37,7,FALSE))</f>
        <v>0</v>
      </c>
      <c r="K155" s="62">
        <f>IF(ISNA(VLOOKUP($A155,'3000m handicap'!$C$2:$C$47,1,FALSE)),0,VLOOKUP($A155,'3000m handicap'!$C$2:$K$47,9,FALSE))</f>
        <v>0</v>
      </c>
      <c r="L155" s="62">
        <f>IF(ISNA(VLOOKUP($A155,'10 km'!$B$2:$B$50,1,FALSE)),0,VLOOKUP($A155,'10 km'!$B$2:$D$50,3,FALSE))</f>
        <v>0</v>
      </c>
      <c r="M155" s="62">
        <f>IF(ISNA(VLOOKUP($A155,'Peter Moor 2000m'!$C$2:$C$30,1,FALSE)),0,VLOOKUP($A155,'Peter Moor 2000m'!$C$2:$I$30,7,FALSE))</f>
        <v>0</v>
      </c>
      <c r="N155" s="62">
        <f>IF(ISNA(VLOOKUP($A155,'Max Howard Tan handicap'!$C$2:$C$23,1,FALSE)),0,VLOOKUP($A155,'Max Howard Tan handicap'!$C$2:$I$23,7,FALSE))</f>
        <v>0</v>
      </c>
      <c r="O155" s="88">
        <f>IF(ISNA(VLOOKUP($A155,parkrun!$B$2:$H$145,1,FALSE)),0,VLOOKUP($A155,parkrun!$B$2:$H$145,7,FALSE))</f>
        <v>0</v>
      </c>
      <c r="P155" s="133">
        <f>SUM(F155:O155)</f>
        <v>0</v>
      </c>
      <c r="Q155" s="134">
        <f>COUNTIF(F155:O155,"&gt;0")</f>
        <v>0</v>
      </c>
      <c r="R155" s="215">
        <f>SMALL(F155:O155,1)+SMALL(F155:O155,2)</f>
        <v>0</v>
      </c>
      <c r="S155" s="215">
        <f>IF(Q155=1,P155,P155-R155)</f>
        <v>0</v>
      </c>
      <c r="T155" s="216">
        <f>RANK(P155,$P$5:$P$230,0)</f>
        <v>142</v>
      </c>
      <c r="U155" s="26">
        <f>RANK(S155,$S$5:$S$230,0)</f>
        <v>142</v>
      </c>
      <c r="W155" s="113">
        <v>39818</v>
      </c>
      <c r="X155"/>
      <c r="Y155"/>
      <c r="Z155"/>
      <c r="AD155"/>
      <c r="AE155"/>
    </row>
    <row r="156" spans="1:31" x14ac:dyDescent="0.2">
      <c r="A156" s="46" t="s">
        <v>402</v>
      </c>
      <c r="B156" s="81">
        <v>311</v>
      </c>
      <c r="C156" s="81" t="s">
        <v>233</v>
      </c>
      <c r="D156" s="146">
        <v>30954</v>
      </c>
      <c r="E156" s="81" t="s">
        <v>214</v>
      </c>
      <c r="F156" s="61">
        <f>IF(ISNA(VLOOKUP($A156,'2 Bridges Relay'!$F$2:$F$67,1,FALSE)),0,VLOOKUP($A156,'2 Bridges Relay'!$F$2:$J$67,5,FALSE))</f>
        <v>0</v>
      </c>
      <c r="G156" s="88">
        <f>IF(ISNA(VLOOKUP($A156,'5M''s'!$D$2:$E$27,1,FALSE)),0,VLOOKUP($A156,'5M''s'!$D$2:$E$27,2,FALSE))</f>
        <v>0</v>
      </c>
      <c r="H156" s="62">
        <f>IF(ISNA(VLOOKUP($A156,'Mile handicap'!$C$2:$C$51,1,FALSE)),0,VLOOKUP($A156,'Mile handicap'!$C$2:$K$51,9,FALSE))</f>
        <v>0</v>
      </c>
      <c r="I156" s="62">
        <f>IF(ISNA(VLOOKUP($A156,'5000m handicap'!$C$2:$C$46,1,FALSE)),0,VLOOKUP($A156,'5000m handicap'!$C$2:$K$46,9,FALSE))</f>
        <v>0</v>
      </c>
      <c r="J156" s="62">
        <f>IF(ISNA(VLOOKUP($A156,'KL handicap'!$C$2:$C$37,1,FALSE)),0,VLOOKUP($A156,'KL handicap'!$C$2:$I$37,7,FALSE))</f>
        <v>0</v>
      </c>
      <c r="K156" s="62">
        <f>IF(ISNA(VLOOKUP($A156,'3000m handicap'!$C$2:$C$47,1,FALSE)),0,VLOOKUP($A156,'3000m handicap'!$C$2:$K$47,9,FALSE))</f>
        <v>0</v>
      </c>
      <c r="L156" s="62">
        <f>IF(ISNA(VLOOKUP($A156,'10 km'!$B$2:$B$50,1,FALSE)),0,VLOOKUP($A156,'10 km'!$B$2:$D$50,3,FALSE))</f>
        <v>0</v>
      </c>
      <c r="M156" s="62">
        <f>IF(ISNA(VLOOKUP($A156,'Peter Moor 2000m'!$C$2:$C$30,1,FALSE)),0,VLOOKUP($A156,'Peter Moor 2000m'!$C$2:$I$30,7,FALSE))</f>
        <v>0</v>
      </c>
      <c r="N156" s="62">
        <f>IF(ISNA(VLOOKUP($A156,'Max Howard Tan handicap'!$C$2:$C$23,1,FALSE)),0,VLOOKUP($A156,'Max Howard Tan handicap'!$C$2:$I$23,7,FALSE))</f>
        <v>0</v>
      </c>
      <c r="O156" s="88">
        <f>IF(ISNA(VLOOKUP($A156,parkrun!$B$2:$H$145,1,FALSE)),0,VLOOKUP($A156,parkrun!$B$2:$H$145,7,FALSE))</f>
        <v>0</v>
      </c>
      <c r="P156" s="133">
        <f>SUM(F156:O156)</f>
        <v>0</v>
      </c>
      <c r="Q156" s="134">
        <f>COUNTIF(F156:O156,"&gt;0")</f>
        <v>0</v>
      </c>
      <c r="R156" s="215">
        <f>SMALL(F156:O156,1)+SMALL(F156:O156,2)</f>
        <v>0</v>
      </c>
      <c r="S156" s="215">
        <f>IF(Q156=1,P156,P156-R156)</f>
        <v>0</v>
      </c>
      <c r="T156" s="216">
        <f>RANK(P156,$P$5:$P$230,0)</f>
        <v>142</v>
      </c>
      <c r="U156" s="26">
        <f>RANK(S156,$S$5:$S$230,0)</f>
        <v>142</v>
      </c>
      <c r="W156" s="113">
        <v>24624</v>
      </c>
      <c r="X156"/>
      <c r="Y156"/>
      <c r="Z156"/>
      <c r="AD156"/>
      <c r="AE156"/>
    </row>
    <row r="157" spans="1:31" x14ac:dyDescent="0.2">
      <c r="A157" s="46" t="s">
        <v>667</v>
      </c>
      <c r="B157" s="81">
        <v>332</v>
      </c>
      <c r="C157" s="81" t="s">
        <v>233</v>
      </c>
      <c r="D157" s="146">
        <v>29175</v>
      </c>
      <c r="E157" s="81" t="s">
        <v>214</v>
      </c>
      <c r="F157" s="61">
        <f>IF(ISNA(VLOOKUP($A157,'2 Bridges Relay'!$F$2:$F$67,1,FALSE)),0,VLOOKUP($A157,'2 Bridges Relay'!$F$2:$J$67,5,FALSE))</f>
        <v>0</v>
      </c>
      <c r="G157" s="88">
        <f>IF(ISNA(VLOOKUP($A157,'5M''s'!$D$2:$E$27,1,FALSE)),0,VLOOKUP($A157,'5M''s'!$D$2:$E$27,2,FALSE))</f>
        <v>0</v>
      </c>
      <c r="H157" s="62">
        <f>IF(ISNA(VLOOKUP($A157,'Mile handicap'!$C$2:$C$51,1,FALSE)),0,VLOOKUP($A157,'Mile handicap'!$C$2:$K$51,9,FALSE))</f>
        <v>0</v>
      </c>
      <c r="I157" s="62">
        <f>IF(ISNA(VLOOKUP($A157,'5000m handicap'!$C$2:$C$46,1,FALSE)),0,VLOOKUP($A157,'5000m handicap'!$C$2:$K$46,9,FALSE))</f>
        <v>0</v>
      </c>
      <c r="J157" s="62">
        <f>IF(ISNA(VLOOKUP($A157,'KL handicap'!$C$2:$C$37,1,FALSE)),0,VLOOKUP($A157,'KL handicap'!$C$2:$I$37,7,FALSE))</f>
        <v>0</v>
      </c>
      <c r="K157" s="62">
        <f>IF(ISNA(VLOOKUP($A157,'3000m handicap'!$C$2:$C$47,1,FALSE)),0,VLOOKUP($A157,'3000m handicap'!$C$2:$K$47,9,FALSE))</f>
        <v>0</v>
      </c>
      <c r="L157" s="62">
        <f>IF(ISNA(VLOOKUP($A157,'10 km'!$B$2:$B$50,1,FALSE)),0,VLOOKUP($A157,'10 km'!$B$2:$D$50,3,FALSE))</f>
        <v>0</v>
      </c>
      <c r="M157" s="62">
        <f>IF(ISNA(VLOOKUP($A157,'Peter Moor 2000m'!$C$2:$C$30,1,FALSE)),0,VLOOKUP($A157,'Peter Moor 2000m'!$C$2:$I$30,7,FALSE))</f>
        <v>0</v>
      </c>
      <c r="N157" s="62">
        <f>IF(ISNA(VLOOKUP($A157,'Max Howard Tan handicap'!$C$2:$C$23,1,FALSE)),0,VLOOKUP($A157,'Max Howard Tan handicap'!$C$2:$I$23,7,FALSE))</f>
        <v>0</v>
      </c>
      <c r="O157" s="88">
        <f>IF(ISNA(VLOOKUP($A157,parkrun!$B$2:$H$145,1,FALSE)),0,VLOOKUP($A157,parkrun!$B$2:$H$145,7,FALSE))</f>
        <v>0</v>
      </c>
      <c r="P157" s="133">
        <f>SUM(F157:O157)</f>
        <v>0</v>
      </c>
      <c r="Q157" s="134">
        <f>COUNTIF(F157:O157,"&gt;0")</f>
        <v>0</v>
      </c>
      <c r="R157" s="215">
        <f>SMALL(F157:O157,1)+SMALL(F157:O157,2)</f>
        <v>0</v>
      </c>
      <c r="S157" s="215">
        <f>IF(Q157=1,P157,P157-R157)</f>
        <v>0</v>
      </c>
      <c r="T157" s="216">
        <f>RANK(P157,$P$5:$P$230,0)</f>
        <v>142</v>
      </c>
      <c r="U157" s="26">
        <f>RANK(S157,$S$5:$S$230,0)</f>
        <v>142</v>
      </c>
      <c r="W157" s="113">
        <v>29406</v>
      </c>
      <c r="X157"/>
      <c r="Y157"/>
      <c r="Z157"/>
      <c r="AD157"/>
      <c r="AE157"/>
    </row>
    <row r="158" spans="1:31" x14ac:dyDescent="0.2">
      <c r="A158" s="46" t="s">
        <v>86</v>
      </c>
      <c r="B158" s="81">
        <v>92</v>
      </c>
      <c r="C158" s="81" t="s">
        <v>233</v>
      </c>
      <c r="D158" s="146">
        <v>28674</v>
      </c>
      <c r="E158" s="81" t="s">
        <v>214</v>
      </c>
      <c r="F158" s="61">
        <f>IF(ISNA(VLOOKUP($A158,'2 Bridges Relay'!$F$2:$F$67,1,FALSE)),0,VLOOKUP($A158,'2 Bridges Relay'!$F$2:$J$67,5,FALSE))</f>
        <v>0</v>
      </c>
      <c r="G158" s="88">
        <f>IF(ISNA(VLOOKUP($A158,'5M''s'!$D$2:$E$27,1,FALSE)),0,VLOOKUP($A158,'5M''s'!$D$2:$E$27,2,FALSE))</f>
        <v>0</v>
      </c>
      <c r="H158" s="62">
        <f>IF(ISNA(VLOOKUP($A158,'Mile handicap'!$C$2:$C$51,1,FALSE)),0,VLOOKUP($A158,'Mile handicap'!$C$2:$K$51,9,FALSE))</f>
        <v>0</v>
      </c>
      <c r="I158" s="62">
        <f>IF(ISNA(VLOOKUP($A158,'5000m handicap'!$C$2:$C$46,1,FALSE)),0,VLOOKUP($A158,'5000m handicap'!$C$2:$K$46,9,FALSE))</f>
        <v>0</v>
      </c>
      <c r="J158" s="62">
        <f>IF(ISNA(VLOOKUP($A158,'KL handicap'!$C$2:$C$37,1,FALSE)),0,VLOOKUP($A158,'KL handicap'!$C$2:$I$37,7,FALSE))</f>
        <v>0</v>
      </c>
      <c r="K158" s="62">
        <f>IF(ISNA(VLOOKUP($A158,'3000m handicap'!$C$2:$C$47,1,FALSE)),0,VLOOKUP($A158,'3000m handicap'!$C$2:$K$47,9,FALSE))</f>
        <v>0</v>
      </c>
      <c r="L158" s="62">
        <f>IF(ISNA(VLOOKUP($A158,'10 km'!$B$2:$B$50,1,FALSE)),0,VLOOKUP($A158,'10 km'!$B$2:$D$50,3,FALSE))</f>
        <v>0</v>
      </c>
      <c r="M158" s="62">
        <f>IF(ISNA(VLOOKUP($A158,'Peter Moor 2000m'!$C$2:$C$30,1,FALSE)),0,VLOOKUP($A158,'Peter Moor 2000m'!$C$2:$I$30,7,FALSE))</f>
        <v>0</v>
      </c>
      <c r="N158" s="62">
        <f>IF(ISNA(VLOOKUP($A158,'Max Howard Tan handicap'!$C$2:$C$23,1,FALSE)),0,VLOOKUP($A158,'Max Howard Tan handicap'!$C$2:$I$23,7,FALSE))</f>
        <v>0</v>
      </c>
      <c r="O158" s="88">
        <f>IF(ISNA(VLOOKUP($A158,parkrun!$B$2:$H$145,1,FALSE)),0,VLOOKUP($A158,parkrun!$B$2:$H$145,7,FALSE))</f>
        <v>0</v>
      </c>
      <c r="P158" s="133">
        <f>SUM(F158:O158)</f>
        <v>0</v>
      </c>
      <c r="Q158" s="134">
        <f>COUNTIF(F158:O158,"&gt;0")</f>
        <v>0</v>
      </c>
      <c r="R158" s="215">
        <f>SMALL(F158:O158,1)+SMALL(F158:O158,2)</f>
        <v>0</v>
      </c>
      <c r="S158" s="215">
        <f>IF(Q158=1,P158,P158-R158)</f>
        <v>0</v>
      </c>
      <c r="T158" s="216">
        <f>RANK(P158,$P$5:$P$230,0)</f>
        <v>142</v>
      </c>
      <c r="U158" s="26">
        <f>RANK(S158,$S$5:$S$230,0)</f>
        <v>142</v>
      </c>
      <c r="W158" s="113">
        <v>24238</v>
      </c>
      <c r="X158"/>
      <c r="Y158"/>
      <c r="AD158"/>
    </row>
    <row r="159" spans="1:31" x14ac:dyDescent="0.2">
      <c r="A159" s="46" t="s">
        <v>195</v>
      </c>
      <c r="B159" s="81">
        <v>205</v>
      </c>
      <c r="C159" s="81" t="s">
        <v>233</v>
      </c>
      <c r="D159" s="146">
        <v>22500</v>
      </c>
      <c r="E159" s="81" t="s">
        <v>196</v>
      </c>
      <c r="F159" s="61">
        <f>IF(ISNA(VLOOKUP($A159,'2 Bridges Relay'!$F$2:$F$67,1,FALSE)),0,VLOOKUP($A159,'2 Bridges Relay'!$F$2:$J$67,5,FALSE))</f>
        <v>0</v>
      </c>
      <c r="G159" s="88">
        <f>IF(ISNA(VLOOKUP($A159,'5M''s'!$D$2:$E$27,1,FALSE)),0,VLOOKUP($A159,'5M''s'!$D$2:$E$27,2,FALSE))</f>
        <v>0</v>
      </c>
      <c r="H159" s="62">
        <f>IF(ISNA(VLOOKUP($A159,'Mile handicap'!$C$2:$C$51,1,FALSE)),0,VLOOKUP($A159,'Mile handicap'!$C$2:$K$51,9,FALSE))</f>
        <v>0</v>
      </c>
      <c r="I159" s="62">
        <f>IF(ISNA(VLOOKUP($A159,'5000m handicap'!$C$2:$C$46,1,FALSE)),0,VLOOKUP($A159,'5000m handicap'!$C$2:$K$46,9,FALSE))</f>
        <v>0</v>
      </c>
      <c r="J159" s="62">
        <f>IF(ISNA(VLOOKUP($A159,'KL handicap'!$C$2:$C$37,1,FALSE)),0,VLOOKUP($A159,'KL handicap'!$C$2:$I$37,7,FALSE))</f>
        <v>0</v>
      </c>
      <c r="K159" s="62">
        <f>IF(ISNA(VLOOKUP($A159,'3000m handicap'!$C$2:$C$47,1,FALSE)),0,VLOOKUP($A159,'3000m handicap'!$C$2:$K$47,9,FALSE))</f>
        <v>0</v>
      </c>
      <c r="L159" s="62">
        <f>IF(ISNA(VLOOKUP($A159,'10 km'!$B$2:$B$50,1,FALSE)),0,VLOOKUP($A159,'10 km'!$B$2:$D$50,3,FALSE))</f>
        <v>0</v>
      </c>
      <c r="M159" s="62">
        <f>IF(ISNA(VLOOKUP($A159,'Peter Moor 2000m'!$C$2:$C$30,1,FALSE)),0,VLOOKUP($A159,'Peter Moor 2000m'!$C$2:$I$30,7,FALSE))</f>
        <v>0</v>
      </c>
      <c r="N159" s="62">
        <f>IF(ISNA(VLOOKUP($A159,'Max Howard Tan handicap'!$C$2:$C$23,1,FALSE)),0,VLOOKUP($A159,'Max Howard Tan handicap'!$C$2:$I$23,7,FALSE))</f>
        <v>0</v>
      </c>
      <c r="O159" s="88">
        <f>IF(ISNA(VLOOKUP($A159,parkrun!$B$2:$H$145,1,FALSE)),0,VLOOKUP($A159,parkrun!$B$2:$H$145,7,FALSE))</f>
        <v>0</v>
      </c>
      <c r="P159" s="133">
        <f>SUM(F159:O159)</f>
        <v>0</v>
      </c>
      <c r="Q159" s="134">
        <f>COUNTIF(F159:O159,"&gt;0")</f>
        <v>0</v>
      </c>
      <c r="R159" s="215">
        <f>SMALL(F159:O159,1)+SMALL(F159:O159,2)</f>
        <v>0</v>
      </c>
      <c r="S159" s="215">
        <f>IF(Q159=1,P159,P159-R159)</f>
        <v>0</v>
      </c>
      <c r="T159" s="216">
        <f>RANK(P159,$P$5:$P$230,0)</f>
        <v>142</v>
      </c>
      <c r="U159" s="26">
        <f>RANK(S159,$S$5:$S$230,0)</f>
        <v>142</v>
      </c>
      <c r="W159" s="113">
        <v>27413</v>
      </c>
      <c r="X159"/>
      <c r="Y159"/>
      <c r="AD159"/>
    </row>
    <row r="160" spans="1:31" x14ac:dyDescent="0.2">
      <c r="A160" s="46" t="s">
        <v>349</v>
      </c>
      <c r="B160" s="81">
        <v>290</v>
      </c>
      <c r="C160" s="81" t="s">
        <v>233</v>
      </c>
      <c r="D160" s="146">
        <v>24981</v>
      </c>
      <c r="E160" s="81" t="s">
        <v>214</v>
      </c>
      <c r="F160" s="61">
        <f>IF(ISNA(VLOOKUP($A160,'2 Bridges Relay'!$F$2:$F$67,1,FALSE)),0,VLOOKUP($A160,'2 Bridges Relay'!$F$2:$J$67,5,FALSE))</f>
        <v>0</v>
      </c>
      <c r="G160" s="88">
        <f>IF(ISNA(VLOOKUP($A160,'5M''s'!$D$2:$E$27,1,FALSE)),0,VLOOKUP($A160,'5M''s'!$D$2:$E$27,2,FALSE))</f>
        <v>0</v>
      </c>
      <c r="H160" s="62">
        <f>IF(ISNA(VLOOKUP($A160,'Mile handicap'!$C$2:$C$51,1,FALSE)),0,VLOOKUP($A160,'Mile handicap'!$C$2:$K$51,9,FALSE))</f>
        <v>0</v>
      </c>
      <c r="I160" s="62">
        <f>IF(ISNA(VLOOKUP($A160,'5000m handicap'!$C$2:$C$46,1,FALSE)),0,VLOOKUP($A160,'5000m handicap'!$C$2:$K$46,9,FALSE))</f>
        <v>0</v>
      </c>
      <c r="J160" s="62">
        <f>IF(ISNA(VLOOKUP($A160,'KL handicap'!$C$2:$C$37,1,FALSE)),0,VLOOKUP($A160,'KL handicap'!$C$2:$I$37,7,FALSE))</f>
        <v>0</v>
      </c>
      <c r="K160" s="62">
        <f>IF(ISNA(VLOOKUP($A160,'3000m handicap'!$C$2:$C$47,1,FALSE)),0,VLOOKUP($A160,'3000m handicap'!$C$2:$K$47,9,FALSE))</f>
        <v>0</v>
      </c>
      <c r="L160" s="62">
        <f>IF(ISNA(VLOOKUP($A160,'10 km'!$B$2:$B$50,1,FALSE)),0,VLOOKUP($A160,'10 km'!$B$2:$D$50,3,FALSE))</f>
        <v>0</v>
      </c>
      <c r="M160" s="62">
        <f>IF(ISNA(VLOOKUP($A160,'Peter Moor 2000m'!$C$2:$C$30,1,FALSE)),0,VLOOKUP($A160,'Peter Moor 2000m'!$C$2:$I$30,7,FALSE))</f>
        <v>0</v>
      </c>
      <c r="N160" s="62">
        <f>IF(ISNA(VLOOKUP($A160,'Max Howard Tan handicap'!$C$2:$C$23,1,FALSE)),0,VLOOKUP($A160,'Max Howard Tan handicap'!$C$2:$I$23,7,FALSE))</f>
        <v>0</v>
      </c>
      <c r="O160" s="88">
        <f>IF(ISNA(VLOOKUP($A160,parkrun!$B$2:$H$145,1,FALSE)),0,VLOOKUP($A160,parkrun!$B$2:$H$145,7,FALSE))</f>
        <v>0</v>
      </c>
      <c r="P160" s="133">
        <f>SUM(F160:O160)</f>
        <v>0</v>
      </c>
      <c r="Q160" s="134">
        <f>COUNTIF(F160:O160,"&gt;0")</f>
        <v>0</v>
      </c>
      <c r="R160" s="215">
        <f>SMALL(F160:O160,1)+SMALL(F160:O160,2)</f>
        <v>0</v>
      </c>
      <c r="S160" s="215">
        <f>IF(Q160=1,P160,P160-R160)</f>
        <v>0</v>
      </c>
      <c r="T160" s="216">
        <f>RANK(P160,$P$5:$P$230,0)</f>
        <v>142</v>
      </c>
      <c r="U160" s="26">
        <f>RANK(S160,$S$5:$S$230,0)</f>
        <v>142</v>
      </c>
      <c r="W160" s="113">
        <v>26999</v>
      </c>
      <c r="X160"/>
      <c r="Y160"/>
      <c r="AD160"/>
    </row>
    <row r="161" spans="1:32" x14ac:dyDescent="0.2">
      <c r="A161" s="46" t="s">
        <v>663</v>
      </c>
      <c r="B161" s="81">
        <v>328</v>
      </c>
      <c r="C161" s="81" t="s">
        <v>233</v>
      </c>
      <c r="D161" s="146">
        <v>26766</v>
      </c>
      <c r="E161" s="81" t="s">
        <v>214</v>
      </c>
      <c r="F161" s="61">
        <f>IF(ISNA(VLOOKUP($A161,'2 Bridges Relay'!$F$2:$F$67,1,FALSE)),0,VLOOKUP($A161,'2 Bridges Relay'!$F$2:$J$67,5,FALSE))</f>
        <v>0</v>
      </c>
      <c r="G161" s="88">
        <f>IF(ISNA(VLOOKUP($A161,'5M''s'!$D$2:$E$27,1,FALSE)),0,VLOOKUP($A161,'5M''s'!$D$2:$E$27,2,FALSE))</f>
        <v>0</v>
      </c>
      <c r="H161" s="62">
        <f>IF(ISNA(VLOOKUP($A161,'Mile handicap'!$C$2:$C$51,1,FALSE)),0,VLOOKUP($A161,'Mile handicap'!$C$2:$K$51,9,FALSE))</f>
        <v>0</v>
      </c>
      <c r="I161" s="62">
        <f>IF(ISNA(VLOOKUP($A161,'5000m handicap'!$C$2:$C$46,1,FALSE)),0,VLOOKUP($A161,'5000m handicap'!$C$2:$K$46,9,FALSE))</f>
        <v>0</v>
      </c>
      <c r="J161" s="62">
        <f>IF(ISNA(VLOOKUP($A161,'KL handicap'!$C$2:$C$37,1,FALSE)),0,VLOOKUP($A161,'KL handicap'!$C$2:$I$37,7,FALSE))</f>
        <v>0</v>
      </c>
      <c r="K161" s="62">
        <f>IF(ISNA(VLOOKUP($A161,'3000m handicap'!$C$2:$C$47,1,FALSE)),0,VLOOKUP($A161,'3000m handicap'!$C$2:$K$47,9,FALSE))</f>
        <v>0</v>
      </c>
      <c r="L161" s="62">
        <f>IF(ISNA(VLOOKUP($A161,'10 km'!$B$2:$B$50,1,FALSE)),0,VLOOKUP($A161,'10 km'!$B$2:$D$50,3,FALSE))</f>
        <v>0</v>
      </c>
      <c r="M161" s="62">
        <f>IF(ISNA(VLOOKUP($A161,'Peter Moor 2000m'!$C$2:$C$30,1,FALSE)),0,VLOOKUP($A161,'Peter Moor 2000m'!$C$2:$I$30,7,FALSE))</f>
        <v>0</v>
      </c>
      <c r="N161" s="62">
        <f>IF(ISNA(VLOOKUP($A161,'Max Howard Tan handicap'!$C$2:$C$23,1,FALSE)),0,VLOOKUP($A161,'Max Howard Tan handicap'!$C$2:$I$23,7,FALSE))</f>
        <v>0</v>
      </c>
      <c r="O161" s="88">
        <f>IF(ISNA(VLOOKUP($A161,parkrun!$B$2:$H$145,1,FALSE)),0,VLOOKUP($A161,parkrun!$B$2:$H$145,7,FALSE))</f>
        <v>0</v>
      </c>
      <c r="P161" s="133">
        <f>SUM(F161:O161)</f>
        <v>0</v>
      </c>
      <c r="Q161" s="134">
        <f>COUNTIF(F161:O161,"&gt;0")</f>
        <v>0</v>
      </c>
      <c r="R161" s="215">
        <f>SMALL(F161:O161,1)+SMALL(F161:O161,2)</f>
        <v>0</v>
      </c>
      <c r="S161" s="215">
        <f>IF(Q161=1,P161,P161-R161)</f>
        <v>0</v>
      </c>
      <c r="T161" s="216">
        <f>RANK(P161,$P$5:$P$230,0)</f>
        <v>142</v>
      </c>
      <c r="U161" s="26">
        <f>RANK(S161,$S$5:$S$230,0)</f>
        <v>142</v>
      </c>
      <c r="W161" s="113">
        <v>27193</v>
      </c>
      <c r="X161"/>
      <c r="Y161"/>
      <c r="AA161"/>
      <c r="AD161"/>
      <c r="AF161"/>
    </row>
    <row r="162" spans="1:32" x14ac:dyDescent="0.2">
      <c r="A162" s="46" t="s">
        <v>84</v>
      </c>
      <c r="B162" s="81">
        <v>55</v>
      </c>
      <c r="C162" s="81" t="s">
        <v>233</v>
      </c>
      <c r="D162" s="146">
        <v>26892</v>
      </c>
      <c r="E162" s="81" t="s">
        <v>214</v>
      </c>
      <c r="F162" s="61">
        <f>IF(ISNA(VLOOKUP($A162,'2 Bridges Relay'!$F$2:$F$67,1,FALSE)),0,VLOOKUP($A162,'2 Bridges Relay'!$F$2:$J$67,5,FALSE))</f>
        <v>0</v>
      </c>
      <c r="G162" s="88">
        <f>IF(ISNA(VLOOKUP($A162,'5M''s'!$D$2:$E$27,1,FALSE)),0,VLOOKUP($A162,'5M''s'!$D$2:$E$27,2,FALSE))</f>
        <v>0</v>
      </c>
      <c r="H162" s="62">
        <f>IF(ISNA(VLOOKUP($A162,'Mile handicap'!$C$2:$C$51,1,FALSE)),0,VLOOKUP($A162,'Mile handicap'!$C$2:$K$51,9,FALSE))</f>
        <v>0</v>
      </c>
      <c r="I162" s="62">
        <f>IF(ISNA(VLOOKUP($A162,'5000m handicap'!$C$2:$C$46,1,FALSE)),0,VLOOKUP($A162,'5000m handicap'!$C$2:$K$46,9,FALSE))</f>
        <v>0</v>
      </c>
      <c r="J162" s="62">
        <f>IF(ISNA(VLOOKUP($A162,'KL handicap'!$C$2:$C$37,1,FALSE)),0,VLOOKUP($A162,'KL handicap'!$C$2:$I$37,7,FALSE))</f>
        <v>0</v>
      </c>
      <c r="K162" s="62">
        <f>IF(ISNA(VLOOKUP($A162,'3000m handicap'!$C$2:$C$47,1,FALSE)),0,VLOOKUP($A162,'3000m handicap'!$C$2:$K$47,9,FALSE))</f>
        <v>0</v>
      </c>
      <c r="L162" s="62">
        <f>IF(ISNA(VLOOKUP($A162,'10 km'!$B$2:$B$50,1,FALSE)),0,VLOOKUP($A162,'10 km'!$B$2:$D$50,3,FALSE))</f>
        <v>0</v>
      </c>
      <c r="M162" s="62">
        <f>IF(ISNA(VLOOKUP($A162,'Peter Moor 2000m'!$C$2:$C$30,1,FALSE)),0,VLOOKUP($A162,'Peter Moor 2000m'!$C$2:$I$30,7,FALSE))</f>
        <v>0</v>
      </c>
      <c r="N162" s="62">
        <f>IF(ISNA(VLOOKUP($A162,'Max Howard Tan handicap'!$C$2:$C$23,1,FALSE)),0,VLOOKUP($A162,'Max Howard Tan handicap'!$C$2:$I$23,7,FALSE))</f>
        <v>0</v>
      </c>
      <c r="O162" s="88">
        <f>IF(ISNA(VLOOKUP($A162,parkrun!$B$2:$H$145,1,FALSE)),0,VLOOKUP($A162,parkrun!$B$2:$H$145,7,FALSE))</f>
        <v>0</v>
      </c>
      <c r="P162" s="133">
        <f>SUM(F162:O162)</f>
        <v>0</v>
      </c>
      <c r="Q162" s="134">
        <f>COUNTIF(F162:O162,"&gt;0")</f>
        <v>0</v>
      </c>
      <c r="R162" s="215">
        <f>SMALL(F162:O162,1)+SMALL(F162:O162,2)</f>
        <v>0</v>
      </c>
      <c r="S162" s="215">
        <f>IF(Q162=1,P162,P162-R162)</f>
        <v>0</v>
      </c>
      <c r="T162" s="216">
        <f>RANK(P162,$P$5:$P$230,0)</f>
        <v>142</v>
      </c>
      <c r="U162" s="26">
        <f>RANK(S162,$S$5:$S$230,0)</f>
        <v>142</v>
      </c>
      <c r="W162" s="113">
        <v>30013</v>
      </c>
      <c r="X162"/>
      <c r="Y162"/>
      <c r="AA162"/>
      <c r="AD162"/>
      <c r="AF162"/>
    </row>
    <row r="163" spans="1:32" x14ac:dyDescent="0.2">
      <c r="A163" s="46" t="s">
        <v>662</v>
      </c>
      <c r="B163" s="81">
        <v>223</v>
      </c>
      <c r="C163" s="81" t="s">
        <v>233</v>
      </c>
      <c r="D163" s="146">
        <v>28397</v>
      </c>
      <c r="E163" s="81" t="s">
        <v>214</v>
      </c>
      <c r="F163" s="61">
        <f>IF(ISNA(VLOOKUP($A163,'2 Bridges Relay'!$F$2:$F$67,1,FALSE)),0,VLOOKUP($A163,'2 Bridges Relay'!$F$2:$J$67,5,FALSE))</f>
        <v>0</v>
      </c>
      <c r="G163" s="88">
        <f>IF(ISNA(VLOOKUP($A163,'5M''s'!$D$2:$E$27,1,FALSE)),0,VLOOKUP($A163,'5M''s'!$D$2:$E$27,2,FALSE))</f>
        <v>0</v>
      </c>
      <c r="H163" s="62">
        <f>IF(ISNA(VLOOKUP($A163,'Mile handicap'!$C$2:$C$51,1,FALSE)),0,VLOOKUP($A163,'Mile handicap'!$C$2:$K$51,9,FALSE))</f>
        <v>0</v>
      </c>
      <c r="I163" s="62">
        <f>IF(ISNA(VLOOKUP($A163,'5000m handicap'!$C$2:$C$46,1,FALSE)),0,VLOOKUP($A163,'5000m handicap'!$C$2:$K$46,9,FALSE))</f>
        <v>0</v>
      </c>
      <c r="J163" s="62">
        <f>IF(ISNA(VLOOKUP($A163,'KL handicap'!$C$2:$C$37,1,FALSE)),0,VLOOKUP($A163,'KL handicap'!$C$2:$I$37,7,FALSE))</f>
        <v>0</v>
      </c>
      <c r="K163" s="62">
        <f>IF(ISNA(VLOOKUP($A163,'3000m handicap'!$C$2:$C$47,1,FALSE)),0,VLOOKUP($A163,'3000m handicap'!$C$2:$K$47,9,FALSE))</f>
        <v>0</v>
      </c>
      <c r="L163" s="62">
        <f>IF(ISNA(VLOOKUP($A163,'10 km'!$B$2:$B$50,1,FALSE)),0,VLOOKUP($A163,'10 km'!$B$2:$D$50,3,FALSE))</f>
        <v>0</v>
      </c>
      <c r="M163" s="62">
        <f>IF(ISNA(VLOOKUP($A163,'Peter Moor 2000m'!$C$2:$C$30,1,FALSE)),0,VLOOKUP($A163,'Peter Moor 2000m'!$C$2:$I$30,7,FALSE))</f>
        <v>0</v>
      </c>
      <c r="N163" s="62">
        <f>IF(ISNA(VLOOKUP($A163,'Max Howard Tan handicap'!$C$2:$C$23,1,FALSE)),0,VLOOKUP($A163,'Max Howard Tan handicap'!$C$2:$I$23,7,FALSE))</f>
        <v>0</v>
      </c>
      <c r="O163" s="88">
        <f>IF(ISNA(VLOOKUP($A163,parkrun!$B$2:$H$145,1,FALSE)),0,VLOOKUP($A163,parkrun!$B$2:$H$145,7,FALSE))</f>
        <v>0</v>
      </c>
      <c r="P163" s="133">
        <f>SUM(F163:O163)</f>
        <v>0</v>
      </c>
      <c r="Q163" s="134">
        <f>COUNTIF(F163:O163,"&gt;0")</f>
        <v>0</v>
      </c>
      <c r="R163" s="215">
        <f>SMALL(F163:O163,1)+SMALL(F163:O163,2)</f>
        <v>0</v>
      </c>
      <c r="S163" s="215">
        <f>IF(Q163=1,P163,P163-R163)</f>
        <v>0</v>
      </c>
      <c r="T163" s="216">
        <f>RANK(P163,$P$5:$P$230,0)</f>
        <v>142</v>
      </c>
      <c r="U163" s="26">
        <f>RANK(S163,$S$5:$S$230,0)</f>
        <v>142</v>
      </c>
      <c r="W163" s="113">
        <v>28474</v>
      </c>
      <c r="X163"/>
      <c r="Y163"/>
      <c r="AA163"/>
      <c r="AD163"/>
      <c r="AF163"/>
    </row>
    <row r="164" spans="1:32" x14ac:dyDescent="0.2">
      <c r="A164" s="46" t="s">
        <v>174</v>
      </c>
      <c r="B164" s="81">
        <v>191</v>
      </c>
      <c r="C164" s="81" t="s">
        <v>233</v>
      </c>
      <c r="D164" s="146">
        <v>27353</v>
      </c>
      <c r="E164" s="81" t="s">
        <v>214</v>
      </c>
      <c r="F164" s="61">
        <f>IF(ISNA(VLOOKUP($A164,'2 Bridges Relay'!$F$2:$F$67,1,FALSE)),0,VLOOKUP($A164,'2 Bridges Relay'!$F$2:$J$67,5,FALSE))</f>
        <v>0</v>
      </c>
      <c r="G164" s="88">
        <f>IF(ISNA(VLOOKUP($A164,'5M''s'!$D$2:$E$27,1,FALSE)),0,VLOOKUP($A164,'5M''s'!$D$2:$E$27,2,FALSE))</f>
        <v>0</v>
      </c>
      <c r="H164" s="62">
        <f>IF(ISNA(VLOOKUP($A164,'Mile handicap'!$C$2:$C$51,1,FALSE)),0,VLOOKUP($A164,'Mile handicap'!$C$2:$K$51,9,FALSE))</f>
        <v>0</v>
      </c>
      <c r="I164" s="62">
        <f>IF(ISNA(VLOOKUP($A164,'5000m handicap'!$C$2:$C$46,1,FALSE)),0,VLOOKUP($A164,'5000m handicap'!$C$2:$K$46,9,FALSE))</f>
        <v>0</v>
      </c>
      <c r="J164" s="62">
        <f>IF(ISNA(VLOOKUP($A164,'KL handicap'!$C$2:$C$37,1,FALSE)),0,VLOOKUP($A164,'KL handicap'!$C$2:$I$37,7,FALSE))</f>
        <v>0</v>
      </c>
      <c r="K164" s="62">
        <f>IF(ISNA(VLOOKUP($A164,'3000m handicap'!$C$2:$C$47,1,FALSE)),0,VLOOKUP($A164,'3000m handicap'!$C$2:$K$47,9,FALSE))</f>
        <v>0</v>
      </c>
      <c r="L164" s="62">
        <f>IF(ISNA(VLOOKUP($A164,'10 km'!$B$2:$B$50,1,FALSE)),0,VLOOKUP($A164,'10 km'!$B$2:$D$50,3,FALSE))</f>
        <v>0</v>
      </c>
      <c r="M164" s="62">
        <f>IF(ISNA(VLOOKUP($A164,'Peter Moor 2000m'!$C$2:$C$30,1,FALSE)),0,VLOOKUP($A164,'Peter Moor 2000m'!$C$2:$I$30,7,FALSE))</f>
        <v>0</v>
      </c>
      <c r="N164" s="62">
        <f>IF(ISNA(VLOOKUP($A164,'Max Howard Tan handicap'!$C$2:$C$23,1,FALSE)),0,VLOOKUP($A164,'Max Howard Tan handicap'!$C$2:$I$23,7,FALSE))</f>
        <v>0</v>
      </c>
      <c r="O164" s="88">
        <f>IF(ISNA(VLOOKUP($A164,parkrun!$B$2:$H$145,1,FALSE)),0,VLOOKUP($A164,parkrun!$B$2:$H$145,7,FALSE))</f>
        <v>0</v>
      </c>
      <c r="P164" s="133">
        <f>SUM(F164:O164)</f>
        <v>0</v>
      </c>
      <c r="Q164" s="134">
        <f>COUNTIF(F164:O164,"&gt;0")</f>
        <v>0</v>
      </c>
      <c r="R164" s="215">
        <f>SMALL(F164:O164,1)+SMALL(F164:O164,2)</f>
        <v>0</v>
      </c>
      <c r="S164" s="215">
        <f>IF(Q164=1,P164,P164-R164)</f>
        <v>0</v>
      </c>
      <c r="T164" s="216">
        <f>RANK(P164,$P$5:$P$230,0)</f>
        <v>142</v>
      </c>
      <c r="U164" s="26">
        <f>RANK(S164,$S$5:$S$230,0)</f>
        <v>142</v>
      </c>
      <c r="W164" s="113">
        <v>19146</v>
      </c>
      <c r="X164"/>
      <c r="Y164"/>
      <c r="AA164"/>
      <c r="AD164"/>
      <c r="AF164"/>
    </row>
    <row r="165" spans="1:32" x14ac:dyDescent="0.2">
      <c r="A165" s="46" t="s">
        <v>278</v>
      </c>
      <c r="B165" s="81">
        <v>251</v>
      </c>
      <c r="C165" s="81" t="s">
        <v>233</v>
      </c>
      <c r="D165" s="146">
        <v>29299</v>
      </c>
      <c r="E165" s="81" t="s">
        <v>214</v>
      </c>
      <c r="F165" s="61">
        <f>IF(ISNA(VLOOKUP($A165,'2 Bridges Relay'!$F$2:$F$67,1,FALSE)),0,VLOOKUP($A165,'2 Bridges Relay'!$F$2:$J$67,5,FALSE))</f>
        <v>0</v>
      </c>
      <c r="G165" s="88">
        <f>IF(ISNA(VLOOKUP($A165,'5M''s'!$D$2:$E$27,1,FALSE)),0,VLOOKUP($A165,'5M''s'!$D$2:$E$27,2,FALSE))</f>
        <v>0</v>
      </c>
      <c r="H165" s="62">
        <f>IF(ISNA(VLOOKUP($A165,'Mile handicap'!$C$2:$C$51,1,FALSE)),0,VLOOKUP($A165,'Mile handicap'!$C$2:$K$51,9,FALSE))</f>
        <v>0</v>
      </c>
      <c r="I165" s="62">
        <f>IF(ISNA(VLOOKUP($A165,'5000m handicap'!$C$2:$C$46,1,FALSE)),0,VLOOKUP($A165,'5000m handicap'!$C$2:$K$46,9,FALSE))</f>
        <v>0</v>
      </c>
      <c r="J165" s="62">
        <f>IF(ISNA(VLOOKUP($A165,'KL handicap'!$C$2:$C$37,1,FALSE)),0,VLOOKUP($A165,'KL handicap'!$C$2:$I$37,7,FALSE))</f>
        <v>0</v>
      </c>
      <c r="K165" s="62">
        <f>IF(ISNA(VLOOKUP($A165,'3000m handicap'!$C$2:$C$47,1,FALSE)),0,VLOOKUP($A165,'3000m handicap'!$C$2:$K$47,9,FALSE))</f>
        <v>0</v>
      </c>
      <c r="L165" s="62">
        <f>IF(ISNA(VLOOKUP($A165,'10 km'!$B$2:$B$50,1,FALSE)),0,VLOOKUP($A165,'10 km'!$B$2:$D$50,3,FALSE))</f>
        <v>0</v>
      </c>
      <c r="M165" s="62">
        <f>IF(ISNA(VLOOKUP($A165,'Peter Moor 2000m'!$C$2:$C$30,1,FALSE)),0,VLOOKUP($A165,'Peter Moor 2000m'!$C$2:$I$30,7,FALSE))</f>
        <v>0</v>
      </c>
      <c r="N165" s="62">
        <f>IF(ISNA(VLOOKUP($A165,'Max Howard Tan handicap'!$C$2:$C$23,1,FALSE)),0,VLOOKUP($A165,'Max Howard Tan handicap'!$C$2:$I$23,7,FALSE))</f>
        <v>0</v>
      </c>
      <c r="O165" s="88">
        <f>IF(ISNA(VLOOKUP($A165,parkrun!$B$2:$H$145,1,FALSE)),0,VLOOKUP($A165,parkrun!$B$2:$H$145,7,FALSE))</f>
        <v>0</v>
      </c>
      <c r="P165" s="133">
        <f>SUM(F165:O165)</f>
        <v>0</v>
      </c>
      <c r="Q165" s="134">
        <f>COUNTIF(F165:O165,"&gt;0")</f>
        <v>0</v>
      </c>
      <c r="R165" s="215">
        <f>SMALL(F165:O165,1)+SMALL(F165:O165,2)</f>
        <v>0</v>
      </c>
      <c r="S165" s="215">
        <f>IF(Q165=1,P165,P165-R165)</f>
        <v>0</v>
      </c>
      <c r="T165" s="216">
        <f>RANK(P165,$P$5:$P$230,0)</f>
        <v>142</v>
      </c>
      <c r="U165" s="26">
        <f>RANK(S165,$S$5:$S$230,0)</f>
        <v>142</v>
      </c>
      <c r="W165" s="113">
        <v>27113</v>
      </c>
      <c r="X165"/>
      <c r="Y165"/>
      <c r="AA165"/>
      <c r="AD165"/>
      <c r="AF165"/>
    </row>
    <row r="166" spans="1:32" x14ac:dyDescent="0.2">
      <c r="A166" s="46" t="s">
        <v>265</v>
      </c>
      <c r="B166" s="81">
        <v>241</v>
      </c>
      <c r="C166" s="81" t="s">
        <v>233</v>
      </c>
      <c r="D166" s="146">
        <v>23322</v>
      </c>
      <c r="E166" s="81" t="s">
        <v>196</v>
      </c>
      <c r="F166" s="61">
        <f>IF(ISNA(VLOOKUP($A166,'2 Bridges Relay'!$F$2:$F$67,1,FALSE)),0,VLOOKUP($A166,'2 Bridges Relay'!$F$2:$J$67,5,FALSE))</f>
        <v>0</v>
      </c>
      <c r="G166" s="88">
        <f>IF(ISNA(VLOOKUP($A166,'5M''s'!$D$2:$E$27,1,FALSE)),0,VLOOKUP($A166,'5M''s'!$D$2:$E$27,2,FALSE))</f>
        <v>0</v>
      </c>
      <c r="H166" s="62">
        <f>IF(ISNA(VLOOKUP($A166,'Mile handicap'!$C$2:$C$51,1,FALSE)),0,VLOOKUP($A166,'Mile handicap'!$C$2:$K$51,9,FALSE))</f>
        <v>0</v>
      </c>
      <c r="I166" s="62">
        <f>IF(ISNA(VLOOKUP($A166,'5000m handicap'!$C$2:$C$46,1,FALSE)),0,VLOOKUP($A166,'5000m handicap'!$C$2:$K$46,9,FALSE))</f>
        <v>0</v>
      </c>
      <c r="J166" s="62">
        <f>IF(ISNA(VLOOKUP($A166,'KL handicap'!$C$2:$C$37,1,FALSE)),0,VLOOKUP($A166,'KL handicap'!$C$2:$I$37,7,FALSE))</f>
        <v>0</v>
      </c>
      <c r="K166" s="62">
        <f>IF(ISNA(VLOOKUP($A166,'3000m handicap'!$C$2:$C$47,1,FALSE)),0,VLOOKUP($A166,'3000m handicap'!$C$2:$K$47,9,FALSE))</f>
        <v>0</v>
      </c>
      <c r="L166" s="62">
        <f>IF(ISNA(VLOOKUP($A166,'10 km'!$B$2:$B$50,1,FALSE)),0,VLOOKUP($A166,'10 km'!$B$2:$D$50,3,FALSE))</f>
        <v>0</v>
      </c>
      <c r="M166" s="62">
        <f>IF(ISNA(VLOOKUP($A166,'Peter Moor 2000m'!$C$2:$C$30,1,FALSE)),0,VLOOKUP($A166,'Peter Moor 2000m'!$C$2:$I$30,7,FALSE))</f>
        <v>0</v>
      </c>
      <c r="N166" s="62">
        <f>IF(ISNA(VLOOKUP($A166,'Max Howard Tan handicap'!$C$2:$C$23,1,FALSE)),0,VLOOKUP($A166,'Max Howard Tan handicap'!$C$2:$I$23,7,FALSE))</f>
        <v>0</v>
      </c>
      <c r="O166" s="88">
        <f>IF(ISNA(VLOOKUP($A166,parkrun!$B$2:$H$145,1,FALSE)),0,VLOOKUP($A166,parkrun!$B$2:$H$145,7,FALSE))</f>
        <v>0</v>
      </c>
      <c r="P166" s="133">
        <f>SUM(F166:O166)</f>
        <v>0</v>
      </c>
      <c r="Q166" s="134">
        <f>COUNTIF(F166:O166,"&gt;0")</f>
        <v>0</v>
      </c>
      <c r="R166" s="215">
        <f>SMALL(F166:O166,1)+SMALL(F166:O166,2)</f>
        <v>0</v>
      </c>
      <c r="S166" s="215">
        <f>IF(Q166=1,P166,P166-R166)</f>
        <v>0</v>
      </c>
      <c r="T166" s="216">
        <f>RANK(P166,$P$5:$P$230,0)</f>
        <v>142</v>
      </c>
      <c r="U166" s="26">
        <f>RANK(S166,$S$5:$S$230,0)</f>
        <v>142</v>
      </c>
      <c r="W166" s="113">
        <v>21942</v>
      </c>
      <c r="X166"/>
      <c r="Y166"/>
      <c r="AA166"/>
      <c r="AD166"/>
      <c r="AF166"/>
    </row>
    <row r="167" spans="1:32" x14ac:dyDescent="0.2">
      <c r="A167" s="46" t="s">
        <v>131</v>
      </c>
      <c r="B167" s="81">
        <v>34</v>
      </c>
      <c r="C167" s="81" t="s">
        <v>233</v>
      </c>
      <c r="D167" s="146">
        <v>23808</v>
      </c>
      <c r="E167" s="81" t="s">
        <v>196</v>
      </c>
      <c r="F167" s="61">
        <f>IF(ISNA(VLOOKUP($A167,'2 Bridges Relay'!$F$2:$F$67,1,FALSE)),0,VLOOKUP($A167,'2 Bridges Relay'!$F$2:$J$67,5,FALSE))</f>
        <v>0</v>
      </c>
      <c r="G167" s="88">
        <f>IF(ISNA(VLOOKUP($A167,'5M''s'!$D$2:$E$27,1,FALSE)),0,VLOOKUP($A167,'5M''s'!$D$2:$E$27,2,FALSE))</f>
        <v>0</v>
      </c>
      <c r="H167" s="62">
        <f>IF(ISNA(VLOOKUP($A167,'Mile handicap'!$C$2:$C$51,1,FALSE)),0,VLOOKUP($A167,'Mile handicap'!$C$2:$K$51,9,FALSE))</f>
        <v>0</v>
      </c>
      <c r="I167" s="62">
        <f>IF(ISNA(VLOOKUP($A167,'5000m handicap'!$C$2:$C$46,1,FALSE)),0,VLOOKUP($A167,'5000m handicap'!$C$2:$K$46,9,FALSE))</f>
        <v>0</v>
      </c>
      <c r="J167" s="62">
        <f>IF(ISNA(VLOOKUP($A167,'KL handicap'!$C$2:$C$37,1,FALSE)),0,VLOOKUP($A167,'KL handicap'!$C$2:$I$37,7,FALSE))</f>
        <v>0</v>
      </c>
      <c r="K167" s="62">
        <f>IF(ISNA(VLOOKUP($A167,'3000m handicap'!$C$2:$C$47,1,FALSE)),0,VLOOKUP($A167,'3000m handicap'!$C$2:$K$47,9,FALSE))</f>
        <v>0</v>
      </c>
      <c r="L167" s="62">
        <f>IF(ISNA(VLOOKUP($A167,'10 km'!$B$2:$B$50,1,FALSE)),0,VLOOKUP($A167,'10 km'!$B$2:$D$50,3,FALSE))</f>
        <v>0</v>
      </c>
      <c r="M167" s="62">
        <f>IF(ISNA(VLOOKUP($A167,'Peter Moor 2000m'!$C$2:$C$30,1,FALSE)),0,VLOOKUP($A167,'Peter Moor 2000m'!$C$2:$I$30,7,FALSE))</f>
        <v>0</v>
      </c>
      <c r="N167" s="62">
        <f>IF(ISNA(VLOOKUP($A167,'Max Howard Tan handicap'!$C$2:$C$23,1,FALSE)),0,VLOOKUP($A167,'Max Howard Tan handicap'!$C$2:$I$23,7,FALSE))</f>
        <v>0</v>
      </c>
      <c r="O167" s="88">
        <f>IF(ISNA(VLOOKUP($A167,parkrun!$B$2:$H$145,1,FALSE)),0,VLOOKUP($A167,parkrun!$B$2:$H$145,7,FALSE))</f>
        <v>0</v>
      </c>
      <c r="P167" s="133">
        <f>SUM(F167:O167)</f>
        <v>0</v>
      </c>
      <c r="Q167" s="134">
        <f>COUNTIF(F167:O167,"&gt;0")</f>
        <v>0</v>
      </c>
      <c r="R167" s="215">
        <f>SMALL(F167:O167,1)+SMALL(F167:O167,2)</f>
        <v>0</v>
      </c>
      <c r="S167" s="215">
        <f>IF(Q167=1,P167,P167-R167)</f>
        <v>0</v>
      </c>
      <c r="T167" s="216">
        <f>RANK(P167,$P$5:$P$230,0)</f>
        <v>142</v>
      </c>
      <c r="U167" s="26">
        <f>RANK(S167,$S$5:$S$230,0)</f>
        <v>142</v>
      </c>
      <c r="W167" s="113">
        <v>20133</v>
      </c>
      <c r="Y167" s="45"/>
      <c r="AD167" s="45"/>
    </row>
    <row r="168" spans="1:32" x14ac:dyDescent="0.2">
      <c r="A168" s="46" t="s">
        <v>123</v>
      </c>
      <c r="B168" s="81">
        <v>146</v>
      </c>
      <c r="C168" s="81" t="s">
        <v>233</v>
      </c>
      <c r="D168" s="146">
        <v>27362</v>
      </c>
      <c r="E168" s="81" t="s">
        <v>214</v>
      </c>
      <c r="F168" s="61">
        <f>IF(ISNA(VLOOKUP($A168,'2 Bridges Relay'!$F$2:$F$67,1,FALSE)),0,VLOOKUP($A168,'2 Bridges Relay'!$F$2:$J$67,5,FALSE))</f>
        <v>0</v>
      </c>
      <c r="G168" s="88">
        <f>IF(ISNA(VLOOKUP($A168,'5M''s'!$D$2:$E$27,1,FALSE)),0,VLOOKUP($A168,'5M''s'!$D$2:$E$27,2,FALSE))</f>
        <v>0</v>
      </c>
      <c r="H168" s="62">
        <f>IF(ISNA(VLOOKUP($A168,'Mile handicap'!$C$2:$C$51,1,FALSE)),0,VLOOKUP($A168,'Mile handicap'!$C$2:$K$51,9,FALSE))</f>
        <v>0</v>
      </c>
      <c r="I168" s="62">
        <f>IF(ISNA(VLOOKUP($A168,'5000m handicap'!$C$2:$C$46,1,FALSE)),0,VLOOKUP($A168,'5000m handicap'!$C$2:$K$46,9,FALSE))</f>
        <v>0</v>
      </c>
      <c r="J168" s="62">
        <f>IF(ISNA(VLOOKUP($A168,'KL handicap'!$C$2:$C$37,1,FALSE)),0,VLOOKUP($A168,'KL handicap'!$C$2:$I$37,7,FALSE))</f>
        <v>0</v>
      </c>
      <c r="K168" s="62">
        <f>IF(ISNA(VLOOKUP($A168,'3000m handicap'!$C$2:$C$47,1,FALSE)),0,VLOOKUP($A168,'3000m handicap'!$C$2:$K$47,9,FALSE))</f>
        <v>0</v>
      </c>
      <c r="L168" s="62">
        <f>IF(ISNA(VLOOKUP($A168,'10 km'!$B$2:$B$50,1,FALSE)),0,VLOOKUP($A168,'10 km'!$B$2:$D$50,3,FALSE))</f>
        <v>0</v>
      </c>
      <c r="M168" s="62">
        <f>IF(ISNA(VLOOKUP($A168,'Peter Moor 2000m'!$C$2:$C$30,1,FALSE)),0,VLOOKUP($A168,'Peter Moor 2000m'!$C$2:$I$30,7,FALSE))</f>
        <v>0</v>
      </c>
      <c r="N168" s="62">
        <f>IF(ISNA(VLOOKUP($A168,'Max Howard Tan handicap'!$C$2:$C$23,1,FALSE)),0,VLOOKUP($A168,'Max Howard Tan handicap'!$C$2:$I$23,7,FALSE))</f>
        <v>0</v>
      </c>
      <c r="O168" s="88">
        <f>IF(ISNA(VLOOKUP($A168,parkrun!$B$2:$H$145,1,FALSE)),0,VLOOKUP($A168,parkrun!$B$2:$H$145,7,FALSE))</f>
        <v>0</v>
      </c>
      <c r="P168" s="133">
        <f>SUM(F168:O168)</f>
        <v>0</v>
      </c>
      <c r="Q168" s="134">
        <f>COUNTIF(F168:O168,"&gt;0")</f>
        <v>0</v>
      </c>
      <c r="R168" s="215">
        <f>SMALL(F168:O168,1)+SMALL(F168:O168,2)</f>
        <v>0</v>
      </c>
      <c r="S168" s="215">
        <f>IF(Q168=1,P168,P168-R168)</f>
        <v>0</v>
      </c>
      <c r="T168" s="216">
        <f>RANK(P168,$P$5:$P$230,0)</f>
        <v>142</v>
      </c>
      <c r="U168" s="26">
        <f>RANK(S168,$S$5:$S$230,0)</f>
        <v>142</v>
      </c>
      <c r="W168" s="113"/>
    </row>
    <row r="169" spans="1:32" x14ac:dyDescent="0.2">
      <c r="A169" s="46" t="s">
        <v>266</v>
      </c>
      <c r="B169" s="81">
        <v>131</v>
      </c>
      <c r="C169" s="81" t="s">
        <v>233</v>
      </c>
      <c r="D169" s="146">
        <v>28057</v>
      </c>
      <c r="E169" s="81" t="s">
        <v>214</v>
      </c>
      <c r="F169" s="61">
        <f>IF(ISNA(VLOOKUP($A169,'2 Bridges Relay'!$F$2:$F$67,1,FALSE)),0,VLOOKUP($A169,'2 Bridges Relay'!$F$2:$J$67,5,FALSE))</f>
        <v>0</v>
      </c>
      <c r="G169" s="88">
        <f>IF(ISNA(VLOOKUP($A169,'5M''s'!$D$2:$E$27,1,FALSE)),0,VLOOKUP($A169,'5M''s'!$D$2:$E$27,2,FALSE))</f>
        <v>0</v>
      </c>
      <c r="H169" s="62">
        <f>IF(ISNA(VLOOKUP($A169,'Mile handicap'!$C$2:$C$51,1,FALSE)),0,VLOOKUP($A169,'Mile handicap'!$C$2:$K$51,9,FALSE))</f>
        <v>0</v>
      </c>
      <c r="I169" s="62">
        <f>IF(ISNA(VLOOKUP($A169,'5000m handicap'!$C$2:$C$46,1,FALSE)),0,VLOOKUP($A169,'5000m handicap'!$C$2:$K$46,9,FALSE))</f>
        <v>0</v>
      </c>
      <c r="J169" s="62">
        <f>IF(ISNA(VLOOKUP($A169,'KL handicap'!$C$2:$C$37,1,FALSE)),0,VLOOKUP($A169,'KL handicap'!$C$2:$I$37,7,FALSE))</f>
        <v>0</v>
      </c>
      <c r="K169" s="62">
        <f>IF(ISNA(VLOOKUP($A169,'3000m handicap'!$C$2:$C$47,1,FALSE)),0,VLOOKUP($A169,'3000m handicap'!$C$2:$K$47,9,FALSE))</f>
        <v>0</v>
      </c>
      <c r="L169" s="62">
        <f>IF(ISNA(VLOOKUP($A169,'10 km'!$B$2:$B$50,1,FALSE)),0,VLOOKUP($A169,'10 km'!$B$2:$D$50,3,FALSE))</f>
        <v>0</v>
      </c>
      <c r="M169" s="62">
        <f>IF(ISNA(VLOOKUP($A169,'Peter Moor 2000m'!$C$2:$C$30,1,FALSE)),0,VLOOKUP($A169,'Peter Moor 2000m'!$C$2:$I$30,7,FALSE))</f>
        <v>0</v>
      </c>
      <c r="N169" s="62">
        <f>IF(ISNA(VLOOKUP($A169,'Max Howard Tan handicap'!$C$2:$C$23,1,FALSE)),0,VLOOKUP($A169,'Max Howard Tan handicap'!$C$2:$I$23,7,FALSE))</f>
        <v>0</v>
      </c>
      <c r="O169" s="88">
        <f>IF(ISNA(VLOOKUP($A169,parkrun!$B$2:$H$145,1,FALSE)),0,VLOOKUP($A169,parkrun!$B$2:$H$145,7,FALSE))</f>
        <v>0</v>
      </c>
      <c r="P169" s="133">
        <f>SUM(F169:O169)</f>
        <v>0</v>
      </c>
      <c r="Q169" s="134">
        <f>COUNTIF(F169:O169,"&gt;0")</f>
        <v>0</v>
      </c>
      <c r="R169" s="215">
        <f>SMALL(F169:O169,1)+SMALL(F169:O169,2)</f>
        <v>0</v>
      </c>
      <c r="S169" s="215">
        <f>IF(Q169=1,P169,P169-R169)</f>
        <v>0</v>
      </c>
      <c r="T169" s="216">
        <f>RANK(P169,$P$5:$P$230,0)</f>
        <v>142</v>
      </c>
      <c r="U169" s="26">
        <f>RANK(S169,$S$5:$S$230,0)</f>
        <v>142</v>
      </c>
      <c r="W169" s="113"/>
    </row>
    <row r="170" spans="1:32" x14ac:dyDescent="0.2">
      <c r="A170" s="46" t="s">
        <v>75</v>
      </c>
      <c r="B170" s="81">
        <v>31</v>
      </c>
      <c r="C170" s="81" t="s">
        <v>233</v>
      </c>
      <c r="D170" s="146">
        <v>23318</v>
      </c>
      <c r="E170" s="81" t="s">
        <v>196</v>
      </c>
      <c r="F170" s="61">
        <f>IF(ISNA(VLOOKUP($A170,'2 Bridges Relay'!$F$2:$F$67,1,FALSE)),0,VLOOKUP($A170,'2 Bridges Relay'!$F$2:$J$67,5,FALSE))</f>
        <v>0</v>
      </c>
      <c r="G170" s="88">
        <f>IF(ISNA(VLOOKUP($A170,'5M''s'!$D$2:$E$27,1,FALSE)),0,VLOOKUP($A170,'5M''s'!$D$2:$E$27,2,FALSE))</f>
        <v>0</v>
      </c>
      <c r="H170" s="62">
        <f>IF(ISNA(VLOOKUP($A170,'Mile handicap'!$C$2:$C$51,1,FALSE)),0,VLOOKUP($A170,'Mile handicap'!$C$2:$K$51,9,FALSE))</f>
        <v>0</v>
      </c>
      <c r="I170" s="62">
        <f>IF(ISNA(VLOOKUP($A170,'5000m handicap'!$C$2:$C$46,1,FALSE)),0,VLOOKUP($A170,'5000m handicap'!$C$2:$K$46,9,FALSE))</f>
        <v>0</v>
      </c>
      <c r="J170" s="62">
        <f>IF(ISNA(VLOOKUP($A170,'KL handicap'!$C$2:$C$37,1,FALSE)),0,VLOOKUP($A170,'KL handicap'!$C$2:$I$37,7,FALSE))</f>
        <v>0</v>
      </c>
      <c r="K170" s="62">
        <f>IF(ISNA(VLOOKUP($A170,'3000m handicap'!$C$2:$C$47,1,FALSE)),0,VLOOKUP($A170,'3000m handicap'!$C$2:$K$47,9,FALSE))</f>
        <v>0</v>
      </c>
      <c r="L170" s="62">
        <f>IF(ISNA(VLOOKUP($A170,'10 km'!$B$2:$B$50,1,FALSE)),0,VLOOKUP($A170,'10 km'!$B$2:$D$50,3,FALSE))</f>
        <v>0</v>
      </c>
      <c r="M170" s="62">
        <f>IF(ISNA(VLOOKUP($A170,'Peter Moor 2000m'!$C$2:$C$30,1,FALSE)),0,VLOOKUP($A170,'Peter Moor 2000m'!$C$2:$I$30,7,FALSE))</f>
        <v>0</v>
      </c>
      <c r="N170" s="62">
        <f>IF(ISNA(VLOOKUP($A170,'Max Howard Tan handicap'!$C$2:$C$23,1,FALSE)),0,VLOOKUP($A170,'Max Howard Tan handicap'!$C$2:$I$23,7,FALSE))</f>
        <v>0</v>
      </c>
      <c r="O170" s="88">
        <f>IF(ISNA(VLOOKUP($A170,parkrun!$B$2:$H$145,1,FALSE)),0,VLOOKUP($A170,parkrun!$B$2:$H$145,7,FALSE))</f>
        <v>0</v>
      </c>
      <c r="P170" s="133">
        <f>SUM(F170:O170)</f>
        <v>0</v>
      </c>
      <c r="Q170" s="134">
        <f>COUNTIF(F170:O170,"&gt;0")</f>
        <v>0</v>
      </c>
      <c r="R170" s="215">
        <f>SMALL(F170:O170,1)+SMALL(F170:O170,2)</f>
        <v>0</v>
      </c>
      <c r="S170" s="215">
        <f>IF(Q170=1,P170,P170-R170)</f>
        <v>0</v>
      </c>
      <c r="T170" s="216">
        <f>RANK(P170,$P$5:$P$230,0)</f>
        <v>142</v>
      </c>
      <c r="U170" s="26">
        <f>RANK(S170,$S$5:$S$230,0)</f>
        <v>142</v>
      </c>
      <c r="W170" s="113"/>
    </row>
    <row r="171" spans="1:32" x14ac:dyDescent="0.2">
      <c r="A171" s="46" t="s">
        <v>252</v>
      </c>
      <c r="B171" s="81">
        <v>235</v>
      </c>
      <c r="C171" s="81" t="s">
        <v>233</v>
      </c>
      <c r="D171" s="146">
        <v>25253</v>
      </c>
      <c r="E171" s="81" t="s">
        <v>214</v>
      </c>
      <c r="F171" s="61">
        <f>IF(ISNA(VLOOKUP($A171,'2 Bridges Relay'!$F$2:$F$67,1,FALSE)),0,VLOOKUP($A171,'2 Bridges Relay'!$F$2:$J$67,5,FALSE))</f>
        <v>0</v>
      </c>
      <c r="G171" s="88">
        <f>IF(ISNA(VLOOKUP($A171,'5M''s'!$D$2:$E$27,1,FALSE)),0,VLOOKUP($A171,'5M''s'!$D$2:$E$27,2,FALSE))</f>
        <v>0</v>
      </c>
      <c r="H171" s="62">
        <f>IF(ISNA(VLOOKUP($A171,'Mile handicap'!$C$2:$C$51,1,FALSE)),0,VLOOKUP($A171,'Mile handicap'!$C$2:$K$51,9,FALSE))</f>
        <v>0</v>
      </c>
      <c r="I171" s="62">
        <f>IF(ISNA(VLOOKUP($A171,'5000m handicap'!$C$2:$C$46,1,FALSE)),0,VLOOKUP($A171,'5000m handicap'!$C$2:$K$46,9,FALSE))</f>
        <v>0</v>
      </c>
      <c r="J171" s="62">
        <f>IF(ISNA(VLOOKUP($A171,'KL handicap'!$C$2:$C$37,1,FALSE)),0,VLOOKUP($A171,'KL handicap'!$C$2:$I$37,7,FALSE))</f>
        <v>0</v>
      </c>
      <c r="K171" s="62">
        <f>IF(ISNA(VLOOKUP($A171,'3000m handicap'!$C$2:$C$47,1,FALSE)),0,VLOOKUP($A171,'3000m handicap'!$C$2:$K$47,9,FALSE))</f>
        <v>0</v>
      </c>
      <c r="L171" s="62">
        <f>IF(ISNA(VLOOKUP($A171,'10 km'!$B$2:$B$50,1,FALSE)),0,VLOOKUP($A171,'10 km'!$B$2:$D$50,3,FALSE))</f>
        <v>0</v>
      </c>
      <c r="M171" s="62">
        <f>IF(ISNA(VLOOKUP($A171,'Peter Moor 2000m'!$C$2:$C$30,1,FALSE)),0,VLOOKUP($A171,'Peter Moor 2000m'!$C$2:$I$30,7,FALSE))</f>
        <v>0</v>
      </c>
      <c r="N171" s="62">
        <f>IF(ISNA(VLOOKUP($A171,'Max Howard Tan handicap'!$C$2:$C$23,1,FALSE)),0,VLOOKUP($A171,'Max Howard Tan handicap'!$C$2:$I$23,7,FALSE))</f>
        <v>0</v>
      </c>
      <c r="O171" s="88">
        <f>IF(ISNA(VLOOKUP($A171,parkrun!$B$2:$H$145,1,FALSE)),0,VLOOKUP($A171,parkrun!$B$2:$H$145,7,FALSE))</f>
        <v>0</v>
      </c>
      <c r="P171" s="133">
        <f>SUM(F171:O171)</f>
        <v>0</v>
      </c>
      <c r="Q171" s="134">
        <f>COUNTIF(F171:O171,"&gt;0")</f>
        <v>0</v>
      </c>
      <c r="R171" s="215">
        <f>SMALL(F171:O171,1)+SMALL(F171:O171,2)</f>
        <v>0</v>
      </c>
      <c r="S171" s="215">
        <f>IF(Q171=1,P171,P171-R171)</f>
        <v>0</v>
      </c>
      <c r="T171" s="216">
        <f>RANK(P171,$P$5:$P$230,0)</f>
        <v>142</v>
      </c>
      <c r="U171" s="26">
        <f>RANK(S171,$S$5:$S$230,0)</f>
        <v>142</v>
      </c>
      <c r="W171" s="113"/>
    </row>
    <row r="172" spans="1:32" x14ac:dyDescent="0.2">
      <c r="A172" s="46" t="s">
        <v>294</v>
      </c>
      <c r="B172" s="81">
        <v>263</v>
      </c>
      <c r="C172" s="81" t="s">
        <v>233</v>
      </c>
      <c r="D172" s="146">
        <v>26388</v>
      </c>
      <c r="E172" s="81" t="s">
        <v>214</v>
      </c>
      <c r="F172" s="61">
        <f>IF(ISNA(VLOOKUP($A172,'2 Bridges Relay'!$F$2:$F$67,1,FALSE)),0,VLOOKUP($A172,'2 Bridges Relay'!$F$2:$J$67,5,FALSE))</f>
        <v>0</v>
      </c>
      <c r="G172" s="88">
        <f>IF(ISNA(VLOOKUP($A172,'5M''s'!$D$2:$E$27,1,FALSE)),0,VLOOKUP($A172,'5M''s'!$D$2:$E$27,2,FALSE))</f>
        <v>0</v>
      </c>
      <c r="H172" s="62">
        <f>IF(ISNA(VLOOKUP($A172,'Mile handicap'!$C$2:$C$51,1,FALSE)),0,VLOOKUP($A172,'Mile handicap'!$C$2:$K$51,9,FALSE))</f>
        <v>0</v>
      </c>
      <c r="I172" s="62">
        <f>IF(ISNA(VLOOKUP($A172,'5000m handicap'!$C$2:$C$46,1,FALSE)),0,VLOOKUP($A172,'5000m handicap'!$C$2:$K$46,9,FALSE))</f>
        <v>0</v>
      </c>
      <c r="J172" s="62">
        <f>IF(ISNA(VLOOKUP($A172,'KL handicap'!$C$2:$C$37,1,FALSE)),0,VLOOKUP($A172,'KL handicap'!$C$2:$I$37,7,FALSE))</f>
        <v>0</v>
      </c>
      <c r="K172" s="62">
        <f>IF(ISNA(VLOOKUP($A172,'3000m handicap'!$C$2:$C$47,1,FALSE)),0,VLOOKUP($A172,'3000m handicap'!$C$2:$K$47,9,FALSE))</f>
        <v>0</v>
      </c>
      <c r="L172" s="62">
        <f>IF(ISNA(VLOOKUP($A172,'10 km'!$B$2:$B$50,1,FALSE)),0,VLOOKUP($A172,'10 km'!$B$2:$D$50,3,FALSE))</f>
        <v>0</v>
      </c>
      <c r="M172" s="62">
        <f>IF(ISNA(VLOOKUP($A172,'Peter Moor 2000m'!$C$2:$C$30,1,FALSE)),0,VLOOKUP($A172,'Peter Moor 2000m'!$C$2:$I$30,7,FALSE))</f>
        <v>0</v>
      </c>
      <c r="N172" s="62">
        <f>IF(ISNA(VLOOKUP($A172,'Max Howard Tan handicap'!$C$2:$C$23,1,FALSE)),0,VLOOKUP($A172,'Max Howard Tan handicap'!$C$2:$I$23,7,FALSE))</f>
        <v>0</v>
      </c>
      <c r="O172" s="88">
        <f>IF(ISNA(VLOOKUP($A172,parkrun!$B$2:$H$145,1,FALSE)),0,VLOOKUP($A172,parkrun!$B$2:$H$145,7,FALSE))</f>
        <v>0</v>
      </c>
      <c r="P172" s="133">
        <f>SUM(F172:O172)</f>
        <v>0</v>
      </c>
      <c r="Q172" s="134">
        <f>COUNTIF(F172:O172,"&gt;0")</f>
        <v>0</v>
      </c>
      <c r="R172" s="215">
        <f>SMALL(F172:O172,1)+SMALL(F172:O172,2)</f>
        <v>0</v>
      </c>
      <c r="S172" s="215">
        <f>IF(Q172=1,P172,P172-R172)</f>
        <v>0</v>
      </c>
      <c r="T172" s="216">
        <f>RANK(P172,$P$5:$P$230,0)</f>
        <v>142</v>
      </c>
      <c r="U172" s="26">
        <f>RANK(S172,$S$5:$S$230,0)</f>
        <v>142</v>
      </c>
      <c r="W172" s="113"/>
    </row>
    <row r="173" spans="1:32" x14ac:dyDescent="0.2">
      <c r="A173" s="46" t="s">
        <v>57</v>
      </c>
      <c r="B173" s="81">
        <v>87</v>
      </c>
      <c r="C173" s="81" t="s">
        <v>233</v>
      </c>
      <c r="D173" s="146">
        <v>15457</v>
      </c>
      <c r="E173" s="81" t="s">
        <v>196</v>
      </c>
      <c r="F173" s="61">
        <f>IF(ISNA(VLOOKUP($A173,'2 Bridges Relay'!$F$2:$F$67,1,FALSE)),0,VLOOKUP($A173,'2 Bridges Relay'!$F$2:$J$67,5,FALSE))</f>
        <v>0</v>
      </c>
      <c r="G173" s="88">
        <f>IF(ISNA(VLOOKUP($A173,'5M''s'!$D$2:$E$27,1,FALSE)),0,VLOOKUP($A173,'5M''s'!$D$2:$E$27,2,FALSE))</f>
        <v>0</v>
      </c>
      <c r="H173" s="62">
        <f>IF(ISNA(VLOOKUP($A173,'Mile handicap'!$C$2:$C$51,1,FALSE)),0,VLOOKUP($A173,'Mile handicap'!$C$2:$K$51,9,FALSE))</f>
        <v>0</v>
      </c>
      <c r="I173" s="62">
        <f>IF(ISNA(VLOOKUP($A173,'5000m handicap'!$C$2:$C$46,1,FALSE)),0,VLOOKUP($A173,'5000m handicap'!$C$2:$K$46,9,FALSE))</f>
        <v>0</v>
      </c>
      <c r="J173" s="62">
        <f>IF(ISNA(VLOOKUP($A173,'KL handicap'!$C$2:$C$37,1,FALSE)),0,VLOOKUP($A173,'KL handicap'!$C$2:$I$37,7,FALSE))</f>
        <v>0</v>
      </c>
      <c r="K173" s="62">
        <f>IF(ISNA(VLOOKUP($A173,'3000m handicap'!$C$2:$C$47,1,FALSE)),0,VLOOKUP($A173,'3000m handicap'!$C$2:$K$47,9,FALSE))</f>
        <v>0</v>
      </c>
      <c r="L173" s="62">
        <f>IF(ISNA(VLOOKUP($A173,'10 km'!$B$2:$B$50,1,FALSE)),0,VLOOKUP($A173,'10 km'!$B$2:$D$50,3,FALSE))</f>
        <v>0</v>
      </c>
      <c r="M173" s="62">
        <f>IF(ISNA(VLOOKUP($A173,'Peter Moor 2000m'!$C$2:$C$30,1,FALSE)),0,VLOOKUP($A173,'Peter Moor 2000m'!$C$2:$I$30,7,FALSE))</f>
        <v>0</v>
      </c>
      <c r="N173" s="62">
        <f>IF(ISNA(VLOOKUP($A173,'Max Howard Tan handicap'!$C$2:$C$23,1,FALSE)),0,VLOOKUP($A173,'Max Howard Tan handicap'!$C$2:$I$23,7,FALSE))</f>
        <v>0</v>
      </c>
      <c r="O173" s="88">
        <f>IF(ISNA(VLOOKUP($A173,parkrun!$B$2:$H$145,1,FALSE)),0,VLOOKUP($A173,parkrun!$B$2:$H$145,7,FALSE))</f>
        <v>0</v>
      </c>
      <c r="P173" s="133">
        <f>SUM(F173:O173)</f>
        <v>0</v>
      </c>
      <c r="Q173" s="134">
        <f>COUNTIF(F173:O173,"&gt;0")</f>
        <v>0</v>
      </c>
      <c r="R173" s="215">
        <f>SMALL(F173:O173,1)+SMALL(F173:O173,2)</f>
        <v>0</v>
      </c>
      <c r="S173" s="215">
        <f>IF(Q173=1,P173,P173-R173)</f>
        <v>0</v>
      </c>
      <c r="T173" s="216">
        <f>RANK(P173,$P$5:$P$230,0)</f>
        <v>142</v>
      </c>
      <c r="U173" s="26">
        <f>RANK(S173,$S$5:$S$230,0)</f>
        <v>142</v>
      </c>
      <c r="W173" s="113"/>
    </row>
    <row r="174" spans="1:32" x14ac:dyDescent="0.2">
      <c r="A174" s="46" t="s">
        <v>359</v>
      </c>
      <c r="B174" s="81">
        <v>298</v>
      </c>
      <c r="C174" s="81" t="s">
        <v>233</v>
      </c>
      <c r="D174" s="146">
        <v>28348</v>
      </c>
      <c r="E174" s="81" t="s">
        <v>214</v>
      </c>
      <c r="F174" s="61">
        <f>IF(ISNA(VLOOKUP($A174,'2 Bridges Relay'!$F$2:$F$67,1,FALSE)),0,VLOOKUP($A174,'2 Bridges Relay'!$F$2:$J$67,5,FALSE))</f>
        <v>0</v>
      </c>
      <c r="G174" s="88">
        <f>IF(ISNA(VLOOKUP($A174,'5M''s'!$D$2:$E$27,1,FALSE)),0,VLOOKUP($A174,'5M''s'!$D$2:$E$27,2,FALSE))</f>
        <v>0</v>
      </c>
      <c r="H174" s="62">
        <f>IF(ISNA(VLOOKUP($A174,'Mile handicap'!$C$2:$C$51,1,FALSE)),0,VLOOKUP($A174,'Mile handicap'!$C$2:$K$51,9,FALSE))</f>
        <v>0</v>
      </c>
      <c r="I174" s="62">
        <f>IF(ISNA(VLOOKUP($A174,'5000m handicap'!$C$2:$C$46,1,FALSE)),0,VLOOKUP($A174,'5000m handicap'!$C$2:$K$46,9,FALSE))</f>
        <v>0</v>
      </c>
      <c r="J174" s="62">
        <f>IF(ISNA(VLOOKUP($A174,'KL handicap'!$C$2:$C$37,1,FALSE)),0,VLOOKUP($A174,'KL handicap'!$C$2:$I$37,7,FALSE))</f>
        <v>0</v>
      </c>
      <c r="K174" s="62">
        <f>IF(ISNA(VLOOKUP($A174,'3000m handicap'!$C$2:$C$47,1,FALSE)),0,VLOOKUP($A174,'3000m handicap'!$C$2:$K$47,9,FALSE))</f>
        <v>0</v>
      </c>
      <c r="L174" s="62">
        <f>IF(ISNA(VLOOKUP($A174,'10 km'!$B$2:$B$50,1,FALSE)),0,VLOOKUP($A174,'10 km'!$B$2:$D$50,3,FALSE))</f>
        <v>0</v>
      </c>
      <c r="M174" s="62">
        <f>IF(ISNA(VLOOKUP($A174,'Peter Moor 2000m'!$C$2:$C$30,1,FALSE)),0,VLOOKUP($A174,'Peter Moor 2000m'!$C$2:$I$30,7,FALSE))</f>
        <v>0</v>
      </c>
      <c r="N174" s="62">
        <f>IF(ISNA(VLOOKUP($A174,'Max Howard Tan handicap'!$C$2:$C$23,1,FALSE)),0,VLOOKUP($A174,'Max Howard Tan handicap'!$C$2:$I$23,7,FALSE))</f>
        <v>0</v>
      </c>
      <c r="O174" s="88">
        <f>IF(ISNA(VLOOKUP($A174,parkrun!$B$2:$H$145,1,FALSE)),0,VLOOKUP($A174,parkrun!$B$2:$H$145,7,FALSE))</f>
        <v>0</v>
      </c>
      <c r="P174" s="133">
        <f>SUM(F174:O174)</f>
        <v>0</v>
      </c>
      <c r="Q174" s="134">
        <f>COUNTIF(F174:O174,"&gt;0")</f>
        <v>0</v>
      </c>
      <c r="R174" s="215">
        <f>SMALL(F174:O174,1)+SMALL(F174:O174,2)</f>
        <v>0</v>
      </c>
      <c r="S174" s="215">
        <f>IF(Q174=1,P174,P174-R174)</f>
        <v>0</v>
      </c>
      <c r="T174" s="216">
        <f>RANK(P174,$P$5:$P$230,0)</f>
        <v>142</v>
      </c>
      <c r="U174" s="26">
        <f>RANK(S174,$S$5:$S$230,0)</f>
        <v>142</v>
      </c>
      <c r="W174" s="113"/>
    </row>
    <row r="175" spans="1:32" x14ac:dyDescent="0.2">
      <c r="A175" s="46" t="s">
        <v>63</v>
      </c>
      <c r="B175" s="81">
        <v>45</v>
      </c>
      <c r="C175" s="81" t="s">
        <v>233</v>
      </c>
      <c r="D175" s="146">
        <v>21639</v>
      </c>
      <c r="E175" s="81" t="s">
        <v>196</v>
      </c>
      <c r="F175" s="61">
        <f>IF(ISNA(VLOOKUP($A175,'2 Bridges Relay'!$F$2:$F$67,1,FALSE)),0,VLOOKUP($A175,'2 Bridges Relay'!$F$2:$J$67,5,FALSE))</f>
        <v>0</v>
      </c>
      <c r="G175" s="88">
        <f>IF(ISNA(VLOOKUP($A175,'5M''s'!$D$2:$E$27,1,FALSE)),0,VLOOKUP($A175,'5M''s'!$D$2:$E$27,2,FALSE))</f>
        <v>0</v>
      </c>
      <c r="H175" s="62">
        <f>IF(ISNA(VLOOKUP($A175,'Mile handicap'!$C$2:$C$51,1,FALSE)),0,VLOOKUP($A175,'Mile handicap'!$C$2:$K$51,9,FALSE))</f>
        <v>0</v>
      </c>
      <c r="I175" s="62">
        <f>IF(ISNA(VLOOKUP($A175,'5000m handicap'!$C$2:$C$46,1,FALSE)),0,VLOOKUP($A175,'5000m handicap'!$C$2:$K$46,9,FALSE))</f>
        <v>0</v>
      </c>
      <c r="J175" s="62">
        <f>IF(ISNA(VLOOKUP($A175,'KL handicap'!$C$2:$C$37,1,FALSE)),0,VLOOKUP($A175,'KL handicap'!$C$2:$I$37,7,FALSE))</f>
        <v>0</v>
      </c>
      <c r="K175" s="62">
        <f>IF(ISNA(VLOOKUP($A175,'3000m handicap'!$C$2:$C$47,1,FALSE)),0,VLOOKUP($A175,'3000m handicap'!$C$2:$K$47,9,FALSE))</f>
        <v>0</v>
      </c>
      <c r="L175" s="62">
        <f>IF(ISNA(VLOOKUP($A175,'10 km'!$B$2:$B$50,1,FALSE)),0,VLOOKUP($A175,'10 km'!$B$2:$D$50,3,FALSE))</f>
        <v>0</v>
      </c>
      <c r="M175" s="62">
        <f>IF(ISNA(VLOOKUP($A175,'Peter Moor 2000m'!$C$2:$C$30,1,FALSE)),0,VLOOKUP($A175,'Peter Moor 2000m'!$C$2:$I$30,7,FALSE))</f>
        <v>0</v>
      </c>
      <c r="N175" s="62">
        <f>IF(ISNA(VLOOKUP($A175,'Max Howard Tan handicap'!$C$2:$C$23,1,FALSE)),0,VLOOKUP($A175,'Max Howard Tan handicap'!$C$2:$I$23,7,FALSE))</f>
        <v>0</v>
      </c>
      <c r="O175" s="88">
        <f>IF(ISNA(VLOOKUP($A175,parkrun!$B$2:$H$145,1,FALSE)),0,VLOOKUP($A175,parkrun!$B$2:$H$145,7,FALSE))</f>
        <v>0</v>
      </c>
      <c r="P175" s="133">
        <f>SUM(F175:O175)</f>
        <v>0</v>
      </c>
      <c r="Q175" s="134">
        <f>COUNTIF(F175:O175,"&gt;0")</f>
        <v>0</v>
      </c>
      <c r="R175" s="215">
        <f>SMALL(F175:O175,1)+SMALL(F175:O175,2)</f>
        <v>0</v>
      </c>
      <c r="S175" s="215">
        <f>IF(Q175=1,P175,P175-R175)</f>
        <v>0</v>
      </c>
      <c r="T175" s="216">
        <f>RANK(P175,$P$5:$P$230,0)</f>
        <v>142</v>
      </c>
      <c r="U175" s="26">
        <f>RANK(S175,$S$5:$S$230,0)</f>
        <v>142</v>
      </c>
      <c r="W175" s="113"/>
    </row>
    <row r="176" spans="1:32" x14ac:dyDescent="0.2">
      <c r="A176" s="46" t="s">
        <v>102</v>
      </c>
      <c r="B176" s="81">
        <v>133</v>
      </c>
      <c r="C176" s="81" t="s">
        <v>233</v>
      </c>
      <c r="D176" s="146">
        <v>27789</v>
      </c>
      <c r="E176" s="81" t="s">
        <v>214</v>
      </c>
      <c r="F176" s="61">
        <f>IF(ISNA(VLOOKUP($A176,'2 Bridges Relay'!$F$2:$F$67,1,FALSE)),0,VLOOKUP($A176,'2 Bridges Relay'!$F$2:$J$67,5,FALSE))</f>
        <v>0</v>
      </c>
      <c r="G176" s="88">
        <f>IF(ISNA(VLOOKUP($A176,'5M''s'!$D$2:$E$27,1,FALSE)),0,VLOOKUP($A176,'5M''s'!$D$2:$E$27,2,FALSE))</f>
        <v>0</v>
      </c>
      <c r="H176" s="62">
        <f>IF(ISNA(VLOOKUP($A176,'Mile handicap'!$C$2:$C$51,1,FALSE)),0,VLOOKUP($A176,'Mile handicap'!$C$2:$K$51,9,FALSE))</f>
        <v>0</v>
      </c>
      <c r="I176" s="62">
        <f>IF(ISNA(VLOOKUP($A176,'5000m handicap'!$C$2:$C$46,1,FALSE)),0,VLOOKUP($A176,'5000m handicap'!$C$2:$K$46,9,FALSE))</f>
        <v>0</v>
      </c>
      <c r="J176" s="62">
        <f>IF(ISNA(VLOOKUP($A176,'KL handicap'!$C$2:$C$37,1,FALSE)),0,VLOOKUP($A176,'KL handicap'!$C$2:$I$37,7,FALSE))</f>
        <v>0</v>
      </c>
      <c r="K176" s="62">
        <f>IF(ISNA(VLOOKUP($A176,'3000m handicap'!$C$2:$C$47,1,FALSE)),0,VLOOKUP($A176,'3000m handicap'!$C$2:$K$47,9,FALSE))</f>
        <v>0</v>
      </c>
      <c r="L176" s="62">
        <f>IF(ISNA(VLOOKUP($A176,'10 km'!$B$2:$B$50,1,FALSE)),0,VLOOKUP($A176,'10 km'!$B$2:$D$50,3,FALSE))</f>
        <v>0</v>
      </c>
      <c r="M176" s="62">
        <f>IF(ISNA(VLOOKUP($A176,'Peter Moor 2000m'!$C$2:$C$30,1,FALSE)),0,VLOOKUP($A176,'Peter Moor 2000m'!$C$2:$I$30,7,FALSE))</f>
        <v>0</v>
      </c>
      <c r="N176" s="62">
        <f>IF(ISNA(VLOOKUP($A176,'Max Howard Tan handicap'!$C$2:$C$23,1,FALSE)),0,VLOOKUP($A176,'Max Howard Tan handicap'!$C$2:$I$23,7,FALSE))</f>
        <v>0</v>
      </c>
      <c r="O176" s="88">
        <f>IF(ISNA(VLOOKUP($A176,parkrun!$B$2:$H$145,1,FALSE)),0,VLOOKUP($A176,parkrun!$B$2:$H$145,7,FALSE))</f>
        <v>0</v>
      </c>
      <c r="P176" s="133">
        <f>SUM(F176:O176)</f>
        <v>0</v>
      </c>
      <c r="Q176" s="134">
        <f>COUNTIF(F176:O176,"&gt;0")</f>
        <v>0</v>
      </c>
      <c r="R176" s="215">
        <f>SMALL(F176:O176,1)+SMALL(F176:O176,2)</f>
        <v>0</v>
      </c>
      <c r="S176" s="215">
        <f>IF(Q176=1,P176,P176-R176)</f>
        <v>0</v>
      </c>
      <c r="T176" s="216">
        <f>RANK(P176,$P$5:$P$230,0)</f>
        <v>142</v>
      </c>
      <c r="U176" s="26">
        <f>RANK(S176,$S$5:$S$230,0)</f>
        <v>142</v>
      </c>
      <c r="W176" s="113"/>
    </row>
    <row r="177" spans="1:23" x14ac:dyDescent="0.2">
      <c r="A177" s="46" t="s">
        <v>54</v>
      </c>
      <c r="B177" s="81">
        <v>35</v>
      </c>
      <c r="C177" s="81" t="s">
        <v>233</v>
      </c>
      <c r="D177" s="146">
        <v>18432</v>
      </c>
      <c r="E177" s="81" t="s">
        <v>196</v>
      </c>
      <c r="F177" s="61">
        <f>IF(ISNA(VLOOKUP($A177,'2 Bridges Relay'!$F$2:$F$67,1,FALSE)),0,VLOOKUP($A177,'2 Bridges Relay'!$F$2:$J$67,5,FALSE))</f>
        <v>0</v>
      </c>
      <c r="G177" s="88">
        <f>IF(ISNA(VLOOKUP($A177,'5M''s'!$D$2:$E$27,1,FALSE)),0,VLOOKUP($A177,'5M''s'!$D$2:$E$27,2,FALSE))</f>
        <v>0</v>
      </c>
      <c r="H177" s="62">
        <f>IF(ISNA(VLOOKUP($A177,'Mile handicap'!$C$2:$C$51,1,FALSE)),0,VLOOKUP($A177,'Mile handicap'!$C$2:$K$51,9,FALSE))</f>
        <v>0</v>
      </c>
      <c r="I177" s="62">
        <f>IF(ISNA(VLOOKUP($A177,'5000m handicap'!$C$2:$C$46,1,FALSE)),0,VLOOKUP($A177,'5000m handicap'!$C$2:$K$46,9,FALSE))</f>
        <v>0</v>
      </c>
      <c r="J177" s="62">
        <f>IF(ISNA(VLOOKUP($A177,'KL handicap'!$C$2:$C$37,1,FALSE)),0,VLOOKUP($A177,'KL handicap'!$C$2:$I$37,7,FALSE))</f>
        <v>0</v>
      </c>
      <c r="K177" s="62">
        <f>IF(ISNA(VLOOKUP($A177,'3000m handicap'!$C$2:$C$47,1,FALSE)),0,VLOOKUP($A177,'3000m handicap'!$C$2:$K$47,9,FALSE))</f>
        <v>0</v>
      </c>
      <c r="L177" s="62">
        <f>IF(ISNA(VLOOKUP($A177,'10 km'!$B$2:$B$50,1,FALSE)),0,VLOOKUP($A177,'10 km'!$B$2:$D$50,3,FALSE))</f>
        <v>0</v>
      </c>
      <c r="M177" s="62">
        <f>IF(ISNA(VLOOKUP($A177,'Peter Moor 2000m'!$C$2:$C$30,1,FALSE)),0,VLOOKUP($A177,'Peter Moor 2000m'!$C$2:$I$30,7,FALSE))</f>
        <v>0</v>
      </c>
      <c r="N177" s="62">
        <f>IF(ISNA(VLOOKUP($A177,'Max Howard Tan handicap'!$C$2:$C$23,1,FALSE)),0,VLOOKUP($A177,'Max Howard Tan handicap'!$C$2:$I$23,7,FALSE))</f>
        <v>0</v>
      </c>
      <c r="O177" s="88">
        <f>IF(ISNA(VLOOKUP($A177,parkrun!$B$2:$H$145,1,FALSE)),0,VLOOKUP($A177,parkrun!$B$2:$H$145,7,FALSE))</f>
        <v>0</v>
      </c>
      <c r="P177" s="133">
        <f>SUM(F177:O177)</f>
        <v>0</v>
      </c>
      <c r="Q177" s="134">
        <f>COUNTIF(F177:O177,"&gt;0")</f>
        <v>0</v>
      </c>
      <c r="R177" s="215">
        <f>SMALL(F177:O177,1)+SMALL(F177:O177,2)</f>
        <v>0</v>
      </c>
      <c r="S177" s="215">
        <f>IF(Q177=1,P177,P177-R177)</f>
        <v>0</v>
      </c>
      <c r="T177" s="216">
        <f>RANK(P177,$P$5:$P$230,0)</f>
        <v>142</v>
      </c>
      <c r="U177" s="26">
        <f>RANK(S177,$S$5:$S$230,0)</f>
        <v>142</v>
      </c>
      <c r="W177" s="113"/>
    </row>
    <row r="178" spans="1:23" x14ac:dyDescent="0.2">
      <c r="A178" s="46" t="s">
        <v>342</v>
      </c>
      <c r="B178" s="81">
        <v>277</v>
      </c>
      <c r="C178" s="81" t="s">
        <v>233</v>
      </c>
      <c r="D178" s="146">
        <v>28585</v>
      </c>
      <c r="E178" s="81" t="s">
        <v>214</v>
      </c>
      <c r="F178" s="61">
        <f>IF(ISNA(VLOOKUP($A178,'2 Bridges Relay'!$F$2:$F$67,1,FALSE)),0,VLOOKUP($A178,'2 Bridges Relay'!$F$2:$J$67,5,FALSE))</f>
        <v>0</v>
      </c>
      <c r="G178" s="88">
        <f>IF(ISNA(VLOOKUP($A178,'5M''s'!$D$2:$E$27,1,FALSE)),0,VLOOKUP($A178,'5M''s'!$D$2:$E$27,2,FALSE))</f>
        <v>0</v>
      </c>
      <c r="H178" s="62">
        <f>IF(ISNA(VLOOKUP($A178,'Mile handicap'!$C$2:$C$51,1,FALSE)),0,VLOOKUP($A178,'Mile handicap'!$C$2:$K$51,9,FALSE))</f>
        <v>0</v>
      </c>
      <c r="I178" s="62">
        <f>IF(ISNA(VLOOKUP($A178,'5000m handicap'!$C$2:$C$46,1,FALSE)),0,VLOOKUP($A178,'5000m handicap'!$C$2:$K$46,9,FALSE))</f>
        <v>0</v>
      </c>
      <c r="J178" s="62">
        <f>IF(ISNA(VLOOKUP($A178,'KL handicap'!$C$2:$C$37,1,FALSE)),0,VLOOKUP($A178,'KL handicap'!$C$2:$I$37,7,FALSE))</f>
        <v>0</v>
      </c>
      <c r="K178" s="62">
        <f>IF(ISNA(VLOOKUP($A178,'3000m handicap'!$C$2:$C$47,1,FALSE)),0,VLOOKUP($A178,'3000m handicap'!$C$2:$K$47,9,FALSE))</f>
        <v>0</v>
      </c>
      <c r="L178" s="62">
        <f>IF(ISNA(VLOOKUP($A178,'10 km'!$B$2:$B$50,1,FALSE)),0,VLOOKUP($A178,'10 km'!$B$2:$D$50,3,FALSE))</f>
        <v>0</v>
      </c>
      <c r="M178" s="62">
        <f>IF(ISNA(VLOOKUP($A178,'Peter Moor 2000m'!$C$2:$C$30,1,FALSE)),0,VLOOKUP($A178,'Peter Moor 2000m'!$C$2:$I$30,7,FALSE))</f>
        <v>0</v>
      </c>
      <c r="N178" s="62">
        <f>IF(ISNA(VLOOKUP($A178,'Max Howard Tan handicap'!$C$2:$C$23,1,FALSE)),0,VLOOKUP($A178,'Max Howard Tan handicap'!$C$2:$I$23,7,FALSE))</f>
        <v>0</v>
      </c>
      <c r="O178" s="88">
        <f>IF(ISNA(VLOOKUP($A178,parkrun!$B$2:$H$145,1,FALSE)),0,VLOOKUP($A178,parkrun!$B$2:$H$145,7,FALSE))</f>
        <v>0</v>
      </c>
      <c r="P178" s="133">
        <f>SUM(F178:O178)</f>
        <v>0</v>
      </c>
      <c r="Q178" s="134">
        <f>COUNTIF(F178:O178,"&gt;0")</f>
        <v>0</v>
      </c>
      <c r="R178" s="215">
        <f>SMALL(F178:O178,1)+SMALL(F178:O178,2)</f>
        <v>0</v>
      </c>
      <c r="S178" s="215">
        <f>IF(Q178=1,P178,P178-R178)</f>
        <v>0</v>
      </c>
      <c r="T178" s="216">
        <f>RANK(P178,$P$5:$P$230,0)</f>
        <v>142</v>
      </c>
      <c r="U178" s="26">
        <f>RANK(S178,$S$5:$S$230,0)</f>
        <v>142</v>
      </c>
      <c r="W178" s="113"/>
    </row>
    <row r="179" spans="1:23" x14ac:dyDescent="0.2">
      <c r="A179" s="46" t="s">
        <v>79</v>
      </c>
      <c r="B179" s="81">
        <v>86</v>
      </c>
      <c r="C179" s="81" t="s">
        <v>233</v>
      </c>
      <c r="D179" s="146">
        <v>27827</v>
      </c>
      <c r="E179" s="81" t="s">
        <v>214</v>
      </c>
      <c r="F179" s="61">
        <f>IF(ISNA(VLOOKUP($A179,'2 Bridges Relay'!$F$2:$F$67,1,FALSE)),0,VLOOKUP($A179,'2 Bridges Relay'!$F$2:$J$67,5,FALSE))</f>
        <v>0</v>
      </c>
      <c r="G179" s="88">
        <f>IF(ISNA(VLOOKUP($A179,'5M''s'!$D$2:$E$27,1,FALSE)),0,VLOOKUP($A179,'5M''s'!$D$2:$E$27,2,FALSE))</f>
        <v>0</v>
      </c>
      <c r="H179" s="62">
        <f>IF(ISNA(VLOOKUP($A179,'Mile handicap'!$C$2:$C$51,1,FALSE)),0,VLOOKUP($A179,'Mile handicap'!$C$2:$K$51,9,FALSE))</f>
        <v>0</v>
      </c>
      <c r="I179" s="62">
        <f>IF(ISNA(VLOOKUP($A179,'5000m handicap'!$C$2:$C$46,1,FALSE)),0,VLOOKUP($A179,'5000m handicap'!$C$2:$K$46,9,FALSE))</f>
        <v>0</v>
      </c>
      <c r="J179" s="62">
        <f>IF(ISNA(VLOOKUP($A179,'KL handicap'!$C$2:$C$37,1,FALSE)),0,VLOOKUP($A179,'KL handicap'!$C$2:$I$37,7,FALSE))</f>
        <v>0</v>
      </c>
      <c r="K179" s="62">
        <f>IF(ISNA(VLOOKUP($A179,'3000m handicap'!$C$2:$C$47,1,FALSE)),0,VLOOKUP($A179,'3000m handicap'!$C$2:$K$47,9,FALSE))</f>
        <v>0</v>
      </c>
      <c r="L179" s="62">
        <f>IF(ISNA(VLOOKUP($A179,'10 km'!$B$2:$B$50,1,FALSE)),0,VLOOKUP($A179,'10 km'!$B$2:$D$50,3,FALSE))</f>
        <v>0</v>
      </c>
      <c r="M179" s="62">
        <f>IF(ISNA(VLOOKUP($A179,'Peter Moor 2000m'!$C$2:$C$30,1,FALSE)),0,VLOOKUP($A179,'Peter Moor 2000m'!$C$2:$I$30,7,FALSE))</f>
        <v>0</v>
      </c>
      <c r="N179" s="62">
        <f>IF(ISNA(VLOOKUP($A179,'Max Howard Tan handicap'!$C$2:$C$23,1,FALSE)),0,VLOOKUP($A179,'Max Howard Tan handicap'!$C$2:$I$23,7,FALSE))</f>
        <v>0</v>
      </c>
      <c r="O179" s="88">
        <f>IF(ISNA(VLOOKUP($A179,parkrun!$B$2:$H$145,1,FALSE)),0,VLOOKUP($A179,parkrun!$B$2:$H$145,7,FALSE))</f>
        <v>0</v>
      </c>
      <c r="P179" s="133">
        <f>SUM(F179:O179)</f>
        <v>0</v>
      </c>
      <c r="Q179" s="134">
        <f>COUNTIF(F179:O179,"&gt;0")</f>
        <v>0</v>
      </c>
      <c r="R179" s="215">
        <f>SMALL(F179:O179,1)+SMALL(F179:O179,2)</f>
        <v>0</v>
      </c>
      <c r="S179" s="215">
        <f>IF(Q179=1,P179,P179-R179)</f>
        <v>0</v>
      </c>
      <c r="T179" s="216">
        <f>RANK(P179,$P$5:$P$230,0)</f>
        <v>142</v>
      </c>
      <c r="U179" s="26">
        <f>RANK(S179,$S$5:$S$230,0)</f>
        <v>142</v>
      </c>
      <c r="W179" s="113"/>
    </row>
    <row r="180" spans="1:23" x14ac:dyDescent="0.2">
      <c r="A180" s="46" t="s">
        <v>344</v>
      </c>
      <c r="B180" s="81">
        <v>280</v>
      </c>
      <c r="C180" s="81" t="s">
        <v>233</v>
      </c>
      <c r="D180" s="146">
        <v>31266</v>
      </c>
      <c r="E180" s="81" t="s">
        <v>214</v>
      </c>
      <c r="F180" s="61">
        <f>IF(ISNA(VLOOKUP($A180,'2 Bridges Relay'!$F$2:$F$67,1,FALSE)),0,VLOOKUP($A180,'2 Bridges Relay'!$F$2:$J$67,5,FALSE))</f>
        <v>0</v>
      </c>
      <c r="G180" s="88">
        <f>IF(ISNA(VLOOKUP($A180,'5M''s'!$D$2:$E$27,1,FALSE)),0,VLOOKUP($A180,'5M''s'!$D$2:$E$27,2,FALSE))</f>
        <v>0</v>
      </c>
      <c r="H180" s="62">
        <f>IF(ISNA(VLOOKUP($A180,'Mile handicap'!$C$2:$C$51,1,FALSE)),0,VLOOKUP($A180,'Mile handicap'!$C$2:$K$51,9,FALSE))</f>
        <v>0</v>
      </c>
      <c r="I180" s="62">
        <f>IF(ISNA(VLOOKUP($A180,'5000m handicap'!$C$2:$C$46,1,FALSE)),0,VLOOKUP($A180,'5000m handicap'!$C$2:$K$46,9,FALSE))</f>
        <v>0</v>
      </c>
      <c r="J180" s="62">
        <f>IF(ISNA(VLOOKUP($A180,'KL handicap'!$C$2:$C$37,1,FALSE)),0,VLOOKUP($A180,'KL handicap'!$C$2:$I$37,7,FALSE))</f>
        <v>0</v>
      </c>
      <c r="K180" s="62">
        <f>IF(ISNA(VLOOKUP($A180,'3000m handicap'!$C$2:$C$47,1,FALSE)),0,VLOOKUP($A180,'3000m handicap'!$C$2:$K$47,9,FALSE))</f>
        <v>0</v>
      </c>
      <c r="L180" s="62">
        <f>IF(ISNA(VLOOKUP($A180,'10 km'!$B$2:$B$50,1,FALSE)),0,VLOOKUP($A180,'10 km'!$B$2:$D$50,3,FALSE))</f>
        <v>0</v>
      </c>
      <c r="M180" s="62">
        <f>IF(ISNA(VLOOKUP($A180,'Peter Moor 2000m'!$C$2:$C$30,1,FALSE)),0,VLOOKUP($A180,'Peter Moor 2000m'!$C$2:$I$30,7,FALSE))</f>
        <v>0</v>
      </c>
      <c r="N180" s="62">
        <f>IF(ISNA(VLOOKUP($A180,'Max Howard Tan handicap'!$C$2:$C$23,1,FALSE)),0,VLOOKUP($A180,'Max Howard Tan handicap'!$C$2:$I$23,7,FALSE))</f>
        <v>0</v>
      </c>
      <c r="O180" s="88">
        <f>IF(ISNA(VLOOKUP($A180,parkrun!$B$2:$H$145,1,FALSE)),0,VLOOKUP($A180,parkrun!$B$2:$H$145,7,FALSE))</f>
        <v>0</v>
      </c>
      <c r="P180" s="133">
        <f>SUM(F180:O180)</f>
        <v>0</v>
      </c>
      <c r="Q180" s="134">
        <f>COUNTIF(F180:O180,"&gt;0")</f>
        <v>0</v>
      </c>
      <c r="R180" s="215">
        <f>SMALL(F180:O180,1)+SMALL(F180:O180,2)</f>
        <v>0</v>
      </c>
      <c r="S180" s="215">
        <f>IF(Q180=1,P180,P180-R180)</f>
        <v>0</v>
      </c>
      <c r="T180" s="216">
        <f>RANK(P180,$P$5:$P$230,0)</f>
        <v>142</v>
      </c>
      <c r="U180" s="26">
        <f>RANK(S180,$S$5:$S$230,0)</f>
        <v>142</v>
      </c>
      <c r="W180" s="113"/>
    </row>
    <row r="181" spans="1:23" x14ac:dyDescent="0.2">
      <c r="A181" s="46" t="s">
        <v>221</v>
      </c>
      <c r="B181" s="81">
        <v>91</v>
      </c>
      <c r="C181" s="81" t="s">
        <v>233</v>
      </c>
      <c r="D181" s="146">
        <v>28644</v>
      </c>
      <c r="E181" s="81" t="s">
        <v>214</v>
      </c>
      <c r="F181" s="61">
        <f>IF(ISNA(VLOOKUP($A181,'2 Bridges Relay'!$F$2:$F$67,1,FALSE)),0,VLOOKUP($A181,'2 Bridges Relay'!$F$2:$J$67,5,FALSE))</f>
        <v>0</v>
      </c>
      <c r="G181" s="88">
        <f>IF(ISNA(VLOOKUP($A181,'5M''s'!$D$2:$E$27,1,FALSE)),0,VLOOKUP($A181,'5M''s'!$D$2:$E$27,2,FALSE))</f>
        <v>0</v>
      </c>
      <c r="H181" s="62">
        <f>IF(ISNA(VLOOKUP($A181,'Mile handicap'!$C$2:$C$51,1,FALSE)),0,VLOOKUP($A181,'Mile handicap'!$C$2:$K$51,9,FALSE))</f>
        <v>0</v>
      </c>
      <c r="I181" s="62">
        <f>IF(ISNA(VLOOKUP($A181,'5000m handicap'!$C$2:$C$46,1,FALSE)),0,VLOOKUP($A181,'5000m handicap'!$C$2:$K$46,9,FALSE))</f>
        <v>0</v>
      </c>
      <c r="J181" s="62">
        <f>IF(ISNA(VLOOKUP($A181,'KL handicap'!$C$2:$C$37,1,FALSE)),0,VLOOKUP($A181,'KL handicap'!$C$2:$I$37,7,FALSE))</f>
        <v>0</v>
      </c>
      <c r="K181" s="62">
        <f>IF(ISNA(VLOOKUP($A181,'3000m handicap'!$C$2:$C$47,1,FALSE)),0,VLOOKUP($A181,'3000m handicap'!$C$2:$K$47,9,FALSE))</f>
        <v>0</v>
      </c>
      <c r="L181" s="62">
        <f>IF(ISNA(VLOOKUP($A181,'10 km'!$B$2:$B$50,1,FALSE)),0,VLOOKUP($A181,'10 km'!$B$2:$D$50,3,FALSE))</f>
        <v>0</v>
      </c>
      <c r="M181" s="62">
        <f>IF(ISNA(VLOOKUP($A181,'Peter Moor 2000m'!$C$2:$C$30,1,FALSE)),0,VLOOKUP($A181,'Peter Moor 2000m'!$C$2:$I$30,7,FALSE))</f>
        <v>0</v>
      </c>
      <c r="N181" s="62">
        <f>IF(ISNA(VLOOKUP($A181,'Max Howard Tan handicap'!$C$2:$C$23,1,FALSE)),0,VLOOKUP($A181,'Max Howard Tan handicap'!$C$2:$I$23,7,FALSE))</f>
        <v>0</v>
      </c>
      <c r="O181" s="88">
        <f>IF(ISNA(VLOOKUP($A181,parkrun!$B$2:$H$145,1,FALSE)),0,VLOOKUP($A181,parkrun!$B$2:$H$145,7,FALSE))</f>
        <v>0</v>
      </c>
      <c r="P181" s="133">
        <f>SUM(F181:O181)</f>
        <v>0</v>
      </c>
      <c r="Q181" s="134">
        <f>COUNTIF(F181:O181,"&gt;0")</f>
        <v>0</v>
      </c>
      <c r="R181" s="215">
        <f>SMALL(F181:O181,1)+SMALL(F181:O181,2)</f>
        <v>0</v>
      </c>
      <c r="S181" s="215">
        <f>IF(Q181=1,P181,P181-R181)</f>
        <v>0</v>
      </c>
      <c r="T181" s="216">
        <f>RANK(P181,$P$5:$P$230,0)</f>
        <v>142</v>
      </c>
      <c r="U181" s="26">
        <f>RANK(S181,$S$5:$S$230,0)</f>
        <v>142</v>
      </c>
      <c r="W181" s="113"/>
    </row>
    <row r="182" spans="1:23" x14ac:dyDescent="0.2">
      <c r="A182" s="46" t="s">
        <v>200</v>
      </c>
      <c r="B182" s="81">
        <v>192</v>
      </c>
      <c r="C182" s="81" t="s">
        <v>233</v>
      </c>
      <c r="D182" s="146">
        <v>19062</v>
      </c>
      <c r="E182" s="81" t="s">
        <v>196</v>
      </c>
      <c r="F182" s="61">
        <f>IF(ISNA(VLOOKUP($A182,'2 Bridges Relay'!$F$2:$F$67,1,FALSE)),0,VLOOKUP($A182,'2 Bridges Relay'!$F$2:$J$67,5,FALSE))</f>
        <v>0</v>
      </c>
      <c r="G182" s="88">
        <f>IF(ISNA(VLOOKUP($A182,'5M''s'!$D$2:$E$27,1,FALSE)),0,VLOOKUP($A182,'5M''s'!$D$2:$E$27,2,FALSE))</f>
        <v>0</v>
      </c>
      <c r="H182" s="62">
        <f>IF(ISNA(VLOOKUP($A182,'Mile handicap'!$C$2:$C$51,1,FALSE)),0,VLOOKUP($A182,'Mile handicap'!$C$2:$K$51,9,FALSE))</f>
        <v>0</v>
      </c>
      <c r="I182" s="62">
        <f>IF(ISNA(VLOOKUP($A182,'5000m handicap'!$C$2:$C$46,1,FALSE)),0,VLOOKUP($A182,'5000m handicap'!$C$2:$K$46,9,FALSE))</f>
        <v>0</v>
      </c>
      <c r="J182" s="62">
        <f>IF(ISNA(VLOOKUP($A182,'KL handicap'!$C$2:$C$37,1,FALSE)),0,VLOOKUP($A182,'KL handicap'!$C$2:$I$37,7,FALSE))</f>
        <v>0</v>
      </c>
      <c r="K182" s="62">
        <f>IF(ISNA(VLOOKUP($A182,'3000m handicap'!$C$2:$C$47,1,FALSE)),0,VLOOKUP($A182,'3000m handicap'!$C$2:$K$47,9,FALSE))</f>
        <v>0</v>
      </c>
      <c r="L182" s="62">
        <f>IF(ISNA(VLOOKUP($A182,'10 km'!$B$2:$B$50,1,FALSE)),0,VLOOKUP($A182,'10 km'!$B$2:$D$50,3,FALSE))</f>
        <v>0</v>
      </c>
      <c r="M182" s="62">
        <f>IF(ISNA(VLOOKUP($A182,'Peter Moor 2000m'!$C$2:$C$30,1,FALSE)),0,VLOOKUP($A182,'Peter Moor 2000m'!$C$2:$I$30,7,FALSE))</f>
        <v>0</v>
      </c>
      <c r="N182" s="62">
        <f>IF(ISNA(VLOOKUP($A182,'Max Howard Tan handicap'!$C$2:$C$23,1,FALSE)),0,VLOOKUP($A182,'Max Howard Tan handicap'!$C$2:$I$23,7,FALSE))</f>
        <v>0</v>
      </c>
      <c r="O182" s="88">
        <f>IF(ISNA(VLOOKUP($A182,parkrun!$B$2:$H$145,1,FALSE)),0,VLOOKUP($A182,parkrun!$B$2:$H$145,7,FALSE))</f>
        <v>0</v>
      </c>
      <c r="P182" s="133">
        <f>SUM(F182:O182)</f>
        <v>0</v>
      </c>
      <c r="Q182" s="134">
        <f>COUNTIF(F182:O182,"&gt;0")</f>
        <v>0</v>
      </c>
      <c r="R182" s="215">
        <f>SMALL(F182:O182,1)+SMALL(F182:O182,2)</f>
        <v>0</v>
      </c>
      <c r="S182" s="215">
        <f>IF(Q182=1,P182,P182-R182)</f>
        <v>0</v>
      </c>
      <c r="T182" s="216">
        <f>RANK(P182,$P$5:$P$230,0)</f>
        <v>142</v>
      </c>
      <c r="U182" s="26">
        <f>RANK(S182,$S$5:$S$230,0)</f>
        <v>142</v>
      </c>
      <c r="W182" s="113"/>
    </row>
    <row r="183" spans="1:23" x14ac:dyDescent="0.2">
      <c r="A183" s="46" t="s">
        <v>297</v>
      </c>
      <c r="B183" s="81">
        <v>269</v>
      </c>
      <c r="C183" s="81" t="s">
        <v>233</v>
      </c>
      <c r="D183" s="146">
        <v>31010</v>
      </c>
      <c r="E183" s="81" t="s">
        <v>214</v>
      </c>
      <c r="F183" s="61">
        <f>IF(ISNA(VLOOKUP($A183,'2 Bridges Relay'!$F$2:$F$67,1,FALSE)),0,VLOOKUP($A183,'2 Bridges Relay'!$F$2:$J$67,5,FALSE))</f>
        <v>0</v>
      </c>
      <c r="G183" s="88">
        <f>IF(ISNA(VLOOKUP($A183,'5M''s'!$D$2:$E$27,1,FALSE)),0,VLOOKUP($A183,'5M''s'!$D$2:$E$27,2,FALSE))</f>
        <v>0</v>
      </c>
      <c r="H183" s="62">
        <f>IF(ISNA(VLOOKUP($A183,'Mile handicap'!$C$2:$C$51,1,FALSE)),0,VLOOKUP($A183,'Mile handicap'!$C$2:$K$51,9,FALSE))</f>
        <v>0</v>
      </c>
      <c r="I183" s="62">
        <f>IF(ISNA(VLOOKUP($A183,'5000m handicap'!$C$2:$C$46,1,FALSE)),0,VLOOKUP($A183,'5000m handicap'!$C$2:$K$46,9,FALSE))</f>
        <v>0</v>
      </c>
      <c r="J183" s="62">
        <f>IF(ISNA(VLOOKUP($A183,'KL handicap'!$C$2:$C$37,1,FALSE)),0,VLOOKUP($A183,'KL handicap'!$C$2:$I$37,7,FALSE))</f>
        <v>0</v>
      </c>
      <c r="K183" s="62">
        <f>IF(ISNA(VLOOKUP($A183,'3000m handicap'!$C$2:$C$47,1,FALSE)),0,VLOOKUP($A183,'3000m handicap'!$C$2:$K$47,9,FALSE))</f>
        <v>0</v>
      </c>
      <c r="L183" s="62">
        <f>IF(ISNA(VLOOKUP($A183,'10 km'!$B$2:$B$50,1,FALSE)),0,VLOOKUP($A183,'10 km'!$B$2:$D$50,3,FALSE))</f>
        <v>0</v>
      </c>
      <c r="M183" s="62">
        <f>IF(ISNA(VLOOKUP($A183,'Peter Moor 2000m'!$C$2:$C$30,1,FALSE)),0,VLOOKUP($A183,'Peter Moor 2000m'!$C$2:$I$30,7,FALSE))</f>
        <v>0</v>
      </c>
      <c r="N183" s="62">
        <f>IF(ISNA(VLOOKUP($A183,'Max Howard Tan handicap'!$C$2:$C$23,1,FALSE)),0,VLOOKUP($A183,'Max Howard Tan handicap'!$C$2:$I$23,7,FALSE))</f>
        <v>0</v>
      </c>
      <c r="O183" s="88">
        <f>IF(ISNA(VLOOKUP($A183,parkrun!$B$2:$H$145,1,FALSE)),0,VLOOKUP($A183,parkrun!$B$2:$H$145,7,FALSE))</f>
        <v>0</v>
      </c>
      <c r="P183" s="133">
        <f>SUM(F183:O183)</f>
        <v>0</v>
      </c>
      <c r="Q183" s="134">
        <f>COUNTIF(F183:O183,"&gt;0")</f>
        <v>0</v>
      </c>
      <c r="R183" s="215">
        <f>SMALL(F183:O183,1)+SMALL(F183:O183,2)</f>
        <v>0</v>
      </c>
      <c r="S183" s="215">
        <f>IF(Q183=1,P183,P183-R183)</f>
        <v>0</v>
      </c>
      <c r="T183" s="216">
        <f>RANK(P183,$P$5:$P$230,0)</f>
        <v>142</v>
      </c>
      <c r="U183" s="26">
        <f>RANK(S183,$S$5:$S$230,0)</f>
        <v>142</v>
      </c>
      <c r="W183" s="113"/>
    </row>
    <row r="184" spans="1:23" x14ac:dyDescent="0.2">
      <c r="A184" s="46" t="s">
        <v>668</v>
      </c>
      <c r="B184" s="81">
        <v>333</v>
      </c>
      <c r="C184" s="81" t="s">
        <v>233</v>
      </c>
      <c r="D184" s="146">
        <v>39254</v>
      </c>
      <c r="E184" s="81" t="s">
        <v>214</v>
      </c>
      <c r="F184" s="61">
        <f>IF(ISNA(VLOOKUP($A184,'2 Bridges Relay'!$F$2:$F$67,1,FALSE)),0,VLOOKUP($A184,'2 Bridges Relay'!$F$2:$J$67,5,FALSE))</f>
        <v>0</v>
      </c>
      <c r="G184" s="88">
        <f>IF(ISNA(VLOOKUP($A184,'5M''s'!$D$2:$E$27,1,FALSE)),0,VLOOKUP($A184,'5M''s'!$D$2:$E$27,2,FALSE))</f>
        <v>0</v>
      </c>
      <c r="H184" s="62">
        <f>IF(ISNA(VLOOKUP($A184,'Mile handicap'!$C$2:$C$51,1,FALSE)),0,VLOOKUP($A184,'Mile handicap'!$C$2:$K$51,9,FALSE))</f>
        <v>0</v>
      </c>
      <c r="I184" s="62">
        <f>IF(ISNA(VLOOKUP($A184,'5000m handicap'!$C$2:$C$46,1,FALSE)),0,VLOOKUP($A184,'5000m handicap'!$C$2:$K$46,9,FALSE))</f>
        <v>0</v>
      </c>
      <c r="J184" s="62">
        <f>IF(ISNA(VLOOKUP($A184,'KL handicap'!$C$2:$C$37,1,FALSE)),0,VLOOKUP($A184,'KL handicap'!$C$2:$I$37,7,FALSE))</f>
        <v>0</v>
      </c>
      <c r="K184" s="62">
        <f>IF(ISNA(VLOOKUP($A184,'3000m handicap'!$C$2:$C$47,1,FALSE)),0,VLOOKUP($A184,'3000m handicap'!$C$2:$K$47,9,FALSE))</f>
        <v>0</v>
      </c>
      <c r="L184" s="62">
        <f>IF(ISNA(VLOOKUP($A184,'10 km'!$B$2:$B$50,1,FALSE)),0,VLOOKUP($A184,'10 km'!$B$2:$D$50,3,FALSE))</f>
        <v>0</v>
      </c>
      <c r="M184" s="62">
        <f>IF(ISNA(VLOOKUP($A184,'Peter Moor 2000m'!$C$2:$C$30,1,FALSE)),0,VLOOKUP($A184,'Peter Moor 2000m'!$C$2:$I$30,7,FALSE))</f>
        <v>0</v>
      </c>
      <c r="N184" s="62">
        <f>IF(ISNA(VLOOKUP($A184,'Max Howard Tan handicap'!$C$2:$C$23,1,FALSE)),0,VLOOKUP($A184,'Max Howard Tan handicap'!$C$2:$I$23,7,FALSE))</f>
        <v>0</v>
      </c>
      <c r="O184" s="88">
        <f>IF(ISNA(VLOOKUP($A184,parkrun!$B$2:$H$145,1,FALSE)),0,VLOOKUP($A184,parkrun!$B$2:$H$145,7,FALSE))</f>
        <v>0</v>
      </c>
      <c r="P184" s="133">
        <f>SUM(F184:O184)</f>
        <v>0</v>
      </c>
      <c r="Q184" s="134">
        <f>COUNTIF(F184:O184,"&gt;0")</f>
        <v>0</v>
      </c>
      <c r="R184" s="215">
        <f>SMALL(F184:O184,1)+SMALL(F184:O184,2)</f>
        <v>0</v>
      </c>
      <c r="S184" s="215">
        <f>IF(Q184=1,P184,P184-R184)</f>
        <v>0</v>
      </c>
      <c r="T184" s="216">
        <f>RANK(P184,$P$5:$P$230,0)</f>
        <v>142</v>
      </c>
      <c r="U184" s="26">
        <f>RANK(S184,$S$5:$S$230,0)</f>
        <v>142</v>
      </c>
      <c r="W184" s="113"/>
    </row>
    <row r="185" spans="1:23" x14ac:dyDescent="0.2">
      <c r="A185" s="46" t="s">
        <v>352</v>
      </c>
      <c r="B185" s="81">
        <v>149</v>
      </c>
      <c r="C185" s="81" t="s">
        <v>233</v>
      </c>
      <c r="D185" s="146">
        <v>28415</v>
      </c>
      <c r="E185" s="81" t="s">
        <v>214</v>
      </c>
      <c r="F185" s="61">
        <f>IF(ISNA(VLOOKUP($A185,'2 Bridges Relay'!$F$2:$F$67,1,FALSE)),0,VLOOKUP($A185,'2 Bridges Relay'!$F$2:$J$67,5,FALSE))</f>
        <v>0</v>
      </c>
      <c r="G185" s="88">
        <f>IF(ISNA(VLOOKUP($A185,'5M''s'!$D$2:$E$27,1,FALSE)),0,VLOOKUP($A185,'5M''s'!$D$2:$E$27,2,FALSE))</f>
        <v>0</v>
      </c>
      <c r="H185" s="62">
        <f>IF(ISNA(VLOOKUP($A185,'Mile handicap'!$C$2:$C$51,1,FALSE)),0,VLOOKUP($A185,'Mile handicap'!$C$2:$K$51,9,FALSE))</f>
        <v>0</v>
      </c>
      <c r="I185" s="62">
        <f>IF(ISNA(VLOOKUP($A185,'5000m handicap'!$C$2:$C$46,1,FALSE)),0,VLOOKUP($A185,'5000m handicap'!$C$2:$K$46,9,FALSE))</f>
        <v>0</v>
      </c>
      <c r="J185" s="62">
        <f>IF(ISNA(VLOOKUP($A185,'KL handicap'!$C$2:$C$37,1,FALSE)),0,VLOOKUP($A185,'KL handicap'!$C$2:$I$37,7,FALSE))</f>
        <v>0</v>
      </c>
      <c r="K185" s="62">
        <f>IF(ISNA(VLOOKUP($A185,'3000m handicap'!$C$2:$C$47,1,FALSE)),0,VLOOKUP($A185,'3000m handicap'!$C$2:$K$47,9,FALSE))</f>
        <v>0</v>
      </c>
      <c r="L185" s="62">
        <f>IF(ISNA(VLOOKUP($A185,'10 km'!$B$2:$B$50,1,FALSE)),0,VLOOKUP($A185,'10 km'!$B$2:$D$50,3,FALSE))</f>
        <v>0</v>
      </c>
      <c r="M185" s="62">
        <f>IF(ISNA(VLOOKUP($A185,'Peter Moor 2000m'!$C$2:$C$30,1,FALSE)),0,VLOOKUP($A185,'Peter Moor 2000m'!$C$2:$I$30,7,FALSE))</f>
        <v>0</v>
      </c>
      <c r="N185" s="62">
        <f>IF(ISNA(VLOOKUP($A185,'Max Howard Tan handicap'!$C$2:$C$23,1,FALSE)),0,VLOOKUP($A185,'Max Howard Tan handicap'!$C$2:$I$23,7,FALSE))</f>
        <v>0</v>
      </c>
      <c r="O185" s="88">
        <f>IF(ISNA(VLOOKUP($A185,parkrun!$B$2:$H$145,1,FALSE)),0,VLOOKUP($A185,parkrun!$B$2:$H$145,7,FALSE))</f>
        <v>0</v>
      </c>
      <c r="P185" s="133">
        <f>SUM(F185:O185)</f>
        <v>0</v>
      </c>
      <c r="Q185" s="134">
        <f>COUNTIF(F185:O185,"&gt;0")</f>
        <v>0</v>
      </c>
      <c r="R185" s="215">
        <f>SMALL(F185:O185,1)+SMALL(F185:O185,2)</f>
        <v>0</v>
      </c>
      <c r="S185" s="215">
        <f>IF(Q185=1,P185,P185-R185)</f>
        <v>0</v>
      </c>
      <c r="T185" s="216">
        <f>RANK(P185,$P$5:$P$230,0)</f>
        <v>142</v>
      </c>
      <c r="U185" s="26">
        <f>RANK(S185,$S$5:$S$230,0)</f>
        <v>142</v>
      </c>
      <c r="W185" s="113"/>
    </row>
    <row r="186" spans="1:23" x14ac:dyDescent="0.2">
      <c r="A186" s="46" t="s">
        <v>42</v>
      </c>
      <c r="B186" s="81">
        <v>38</v>
      </c>
      <c r="C186" s="81" t="s">
        <v>233</v>
      </c>
      <c r="D186" s="146">
        <v>24709</v>
      </c>
      <c r="E186" s="81" t="s">
        <v>196</v>
      </c>
      <c r="F186" s="61">
        <f>IF(ISNA(VLOOKUP($A186,'2 Bridges Relay'!$F$2:$F$67,1,FALSE)),0,VLOOKUP($A186,'2 Bridges Relay'!$F$2:$J$67,5,FALSE))</f>
        <v>0</v>
      </c>
      <c r="G186" s="88">
        <f>IF(ISNA(VLOOKUP($A186,'5M''s'!$D$2:$E$27,1,FALSE)),0,VLOOKUP($A186,'5M''s'!$D$2:$E$27,2,FALSE))</f>
        <v>0</v>
      </c>
      <c r="H186" s="62">
        <f>IF(ISNA(VLOOKUP($A186,'Mile handicap'!$C$2:$C$51,1,FALSE)),0,VLOOKUP($A186,'Mile handicap'!$C$2:$K$51,9,FALSE))</f>
        <v>0</v>
      </c>
      <c r="I186" s="62">
        <f>IF(ISNA(VLOOKUP($A186,'5000m handicap'!$C$2:$C$46,1,FALSE)),0,VLOOKUP($A186,'5000m handicap'!$C$2:$K$46,9,FALSE))</f>
        <v>0</v>
      </c>
      <c r="J186" s="62">
        <f>IF(ISNA(VLOOKUP($A186,'KL handicap'!$C$2:$C$37,1,FALSE)),0,VLOOKUP($A186,'KL handicap'!$C$2:$I$37,7,FALSE))</f>
        <v>0</v>
      </c>
      <c r="K186" s="62">
        <f>IF(ISNA(VLOOKUP($A186,'3000m handicap'!$C$2:$C$47,1,FALSE)),0,VLOOKUP($A186,'3000m handicap'!$C$2:$K$47,9,FALSE))</f>
        <v>0</v>
      </c>
      <c r="L186" s="62">
        <f>IF(ISNA(VLOOKUP($A186,'10 km'!$B$2:$B$50,1,FALSE)),0,VLOOKUP($A186,'10 km'!$B$2:$D$50,3,FALSE))</f>
        <v>0</v>
      </c>
      <c r="M186" s="62">
        <f>IF(ISNA(VLOOKUP($A186,'Peter Moor 2000m'!$C$2:$C$30,1,FALSE)),0,VLOOKUP($A186,'Peter Moor 2000m'!$C$2:$I$30,7,FALSE))</f>
        <v>0</v>
      </c>
      <c r="N186" s="62">
        <f>IF(ISNA(VLOOKUP($A186,'Max Howard Tan handicap'!$C$2:$C$23,1,FALSE)),0,VLOOKUP($A186,'Max Howard Tan handicap'!$C$2:$I$23,7,FALSE))</f>
        <v>0</v>
      </c>
      <c r="O186" s="88">
        <f>IF(ISNA(VLOOKUP($A186,parkrun!$B$2:$H$145,1,FALSE)),0,VLOOKUP($A186,parkrun!$B$2:$H$145,7,FALSE))</f>
        <v>0</v>
      </c>
      <c r="P186" s="133">
        <f>SUM(F186:O186)</f>
        <v>0</v>
      </c>
      <c r="Q186" s="134">
        <f>COUNTIF(F186:O186,"&gt;0")</f>
        <v>0</v>
      </c>
      <c r="R186" s="215">
        <f>SMALL(F186:O186,1)+SMALL(F186:O186,2)</f>
        <v>0</v>
      </c>
      <c r="S186" s="215">
        <f>IF(Q186=1,P186,P186-R186)</f>
        <v>0</v>
      </c>
      <c r="T186" s="216">
        <f>RANK(P186,$P$5:$P$230,0)</f>
        <v>142</v>
      </c>
      <c r="U186" s="26">
        <f>RANK(S186,$S$5:$S$230,0)</f>
        <v>142</v>
      </c>
      <c r="W186" s="113"/>
    </row>
    <row r="187" spans="1:23" x14ac:dyDescent="0.2">
      <c r="A187" s="46" t="s">
        <v>434</v>
      </c>
      <c r="B187" s="81">
        <v>315</v>
      </c>
      <c r="C187" s="81" t="s">
        <v>233</v>
      </c>
      <c r="D187" s="146">
        <v>30813</v>
      </c>
      <c r="E187" s="81" t="s">
        <v>214</v>
      </c>
      <c r="F187" s="61">
        <f>IF(ISNA(VLOOKUP($A187,'2 Bridges Relay'!$F$2:$F$67,1,FALSE)),0,VLOOKUP($A187,'2 Bridges Relay'!$F$2:$J$67,5,FALSE))</f>
        <v>0</v>
      </c>
      <c r="G187" s="88">
        <f>IF(ISNA(VLOOKUP($A187,'5M''s'!$D$2:$E$27,1,FALSE)),0,VLOOKUP($A187,'5M''s'!$D$2:$E$27,2,FALSE))</f>
        <v>0</v>
      </c>
      <c r="H187" s="62">
        <f>IF(ISNA(VLOOKUP($A187,'Mile handicap'!$C$2:$C$51,1,FALSE)),0,VLOOKUP($A187,'Mile handicap'!$C$2:$K$51,9,FALSE))</f>
        <v>0</v>
      </c>
      <c r="I187" s="62">
        <f>IF(ISNA(VLOOKUP($A187,'5000m handicap'!$C$2:$C$46,1,FALSE)),0,VLOOKUP($A187,'5000m handicap'!$C$2:$K$46,9,FALSE))</f>
        <v>0</v>
      </c>
      <c r="J187" s="62">
        <f>IF(ISNA(VLOOKUP($A187,'KL handicap'!$C$2:$C$37,1,FALSE)),0,VLOOKUP($A187,'KL handicap'!$C$2:$I$37,7,FALSE))</f>
        <v>0</v>
      </c>
      <c r="K187" s="62">
        <f>IF(ISNA(VLOOKUP($A187,'3000m handicap'!$C$2:$C$47,1,FALSE)),0,VLOOKUP($A187,'3000m handicap'!$C$2:$K$47,9,FALSE))</f>
        <v>0</v>
      </c>
      <c r="L187" s="62">
        <f>IF(ISNA(VLOOKUP($A187,'10 km'!$B$2:$B$50,1,FALSE)),0,VLOOKUP($A187,'10 km'!$B$2:$D$50,3,FALSE))</f>
        <v>0</v>
      </c>
      <c r="M187" s="62">
        <f>IF(ISNA(VLOOKUP($A187,'Peter Moor 2000m'!$C$2:$C$30,1,FALSE)),0,VLOOKUP($A187,'Peter Moor 2000m'!$C$2:$I$30,7,FALSE))</f>
        <v>0</v>
      </c>
      <c r="N187" s="62">
        <f>IF(ISNA(VLOOKUP($A187,'Max Howard Tan handicap'!$C$2:$C$23,1,FALSE)),0,VLOOKUP($A187,'Max Howard Tan handicap'!$C$2:$I$23,7,FALSE))</f>
        <v>0</v>
      </c>
      <c r="O187" s="88">
        <f>IF(ISNA(VLOOKUP($A187,parkrun!$B$2:$H$145,1,FALSE)),0,VLOOKUP($A187,parkrun!$B$2:$H$145,7,FALSE))</f>
        <v>0</v>
      </c>
      <c r="P187" s="133">
        <f>SUM(F187:O187)</f>
        <v>0</v>
      </c>
      <c r="Q187" s="134">
        <f>COUNTIF(F187:O187,"&gt;0")</f>
        <v>0</v>
      </c>
      <c r="R187" s="215">
        <f>SMALL(F187:O187,1)+SMALL(F187:O187,2)</f>
        <v>0</v>
      </c>
      <c r="S187" s="215">
        <f>IF(Q187=1,P187,P187-R187)</f>
        <v>0</v>
      </c>
      <c r="T187" s="216">
        <f>RANK(P187,$P$5:$P$230,0)</f>
        <v>142</v>
      </c>
      <c r="U187" s="26">
        <f>RANK(S187,$S$5:$S$230,0)</f>
        <v>142</v>
      </c>
      <c r="W187" s="113"/>
    </row>
    <row r="188" spans="1:23" x14ac:dyDescent="0.2">
      <c r="A188" s="46" t="s">
        <v>43</v>
      </c>
      <c r="B188" s="81">
        <v>69</v>
      </c>
      <c r="C188" s="81" t="s">
        <v>233</v>
      </c>
      <c r="D188" s="146">
        <v>24865</v>
      </c>
      <c r="E188" s="81" t="s">
        <v>196</v>
      </c>
      <c r="F188" s="61">
        <f>IF(ISNA(VLOOKUP($A188,'2 Bridges Relay'!$F$2:$F$67,1,FALSE)),0,VLOOKUP($A188,'2 Bridges Relay'!$F$2:$J$67,5,FALSE))</f>
        <v>0</v>
      </c>
      <c r="G188" s="88">
        <f>IF(ISNA(VLOOKUP($A188,'5M''s'!$D$2:$E$27,1,FALSE)),0,VLOOKUP($A188,'5M''s'!$D$2:$E$27,2,FALSE))</f>
        <v>0</v>
      </c>
      <c r="H188" s="62">
        <f>IF(ISNA(VLOOKUP($A188,'Mile handicap'!$C$2:$C$51,1,FALSE)),0,VLOOKUP($A188,'Mile handicap'!$C$2:$K$51,9,FALSE))</f>
        <v>0</v>
      </c>
      <c r="I188" s="62">
        <f>IF(ISNA(VLOOKUP($A188,'5000m handicap'!$C$2:$C$46,1,FALSE)),0,VLOOKUP($A188,'5000m handicap'!$C$2:$K$46,9,FALSE))</f>
        <v>0</v>
      </c>
      <c r="J188" s="62">
        <f>IF(ISNA(VLOOKUP($A188,'KL handicap'!$C$2:$C$37,1,FALSE)),0,VLOOKUP($A188,'KL handicap'!$C$2:$I$37,7,FALSE))</f>
        <v>0</v>
      </c>
      <c r="K188" s="62">
        <f>IF(ISNA(VLOOKUP($A188,'3000m handicap'!$C$2:$C$47,1,FALSE)),0,VLOOKUP($A188,'3000m handicap'!$C$2:$K$47,9,FALSE))</f>
        <v>0</v>
      </c>
      <c r="L188" s="62">
        <f>IF(ISNA(VLOOKUP($A188,'10 km'!$B$2:$B$50,1,FALSE)),0,VLOOKUP($A188,'10 km'!$B$2:$D$50,3,FALSE))</f>
        <v>0</v>
      </c>
      <c r="M188" s="62">
        <f>IF(ISNA(VLOOKUP($A188,'Peter Moor 2000m'!$C$2:$C$30,1,FALSE)),0,VLOOKUP($A188,'Peter Moor 2000m'!$C$2:$I$30,7,FALSE))</f>
        <v>0</v>
      </c>
      <c r="N188" s="62">
        <f>IF(ISNA(VLOOKUP($A188,'Max Howard Tan handicap'!$C$2:$C$23,1,FALSE)),0,VLOOKUP($A188,'Max Howard Tan handicap'!$C$2:$I$23,7,FALSE))</f>
        <v>0</v>
      </c>
      <c r="O188" s="88">
        <f>IF(ISNA(VLOOKUP($A188,parkrun!$B$2:$H$145,1,FALSE)),0,VLOOKUP($A188,parkrun!$B$2:$H$145,7,FALSE))</f>
        <v>0</v>
      </c>
      <c r="P188" s="133">
        <f>SUM(F188:O188)</f>
        <v>0</v>
      </c>
      <c r="Q188" s="134">
        <f>COUNTIF(F188:O188,"&gt;0")</f>
        <v>0</v>
      </c>
      <c r="R188" s="215">
        <f>SMALL(F188:O188,1)+SMALL(F188:O188,2)</f>
        <v>0</v>
      </c>
      <c r="S188" s="215">
        <f>IF(Q188=1,P188,P188-R188)</f>
        <v>0</v>
      </c>
      <c r="T188" s="216">
        <f>RANK(P188,$P$5:$P$230,0)</f>
        <v>142</v>
      </c>
      <c r="U188" s="26">
        <f>RANK(S188,$S$5:$S$230,0)</f>
        <v>142</v>
      </c>
      <c r="W188" s="113"/>
    </row>
    <row r="189" spans="1:23" x14ac:dyDescent="0.2">
      <c r="A189" s="46" t="s">
        <v>34</v>
      </c>
      <c r="B189" s="81">
        <v>124</v>
      </c>
      <c r="C189" s="81" t="s">
        <v>233</v>
      </c>
      <c r="D189" s="146">
        <v>29334</v>
      </c>
      <c r="E189" s="81" t="s">
        <v>214</v>
      </c>
      <c r="F189" s="61">
        <f>IF(ISNA(VLOOKUP($A189,'2 Bridges Relay'!$F$2:$F$67,1,FALSE)),0,VLOOKUP($A189,'2 Bridges Relay'!$F$2:$J$67,5,FALSE))</f>
        <v>0</v>
      </c>
      <c r="G189" s="88">
        <f>IF(ISNA(VLOOKUP($A189,'5M''s'!$D$2:$E$27,1,FALSE)),0,VLOOKUP($A189,'5M''s'!$D$2:$E$27,2,FALSE))</f>
        <v>0</v>
      </c>
      <c r="H189" s="62">
        <f>IF(ISNA(VLOOKUP($A189,'Mile handicap'!$C$2:$C$51,1,FALSE)),0,VLOOKUP($A189,'Mile handicap'!$C$2:$K$51,9,FALSE))</f>
        <v>0</v>
      </c>
      <c r="I189" s="62">
        <f>IF(ISNA(VLOOKUP($A189,'5000m handicap'!$C$2:$C$46,1,FALSE)),0,VLOOKUP($A189,'5000m handicap'!$C$2:$K$46,9,FALSE))</f>
        <v>0</v>
      </c>
      <c r="J189" s="62">
        <f>IF(ISNA(VLOOKUP($A189,'KL handicap'!$C$2:$C$37,1,FALSE)),0,VLOOKUP($A189,'KL handicap'!$C$2:$I$37,7,FALSE))</f>
        <v>0</v>
      </c>
      <c r="K189" s="62">
        <f>IF(ISNA(VLOOKUP($A189,'3000m handicap'!$C$2:$C$47,1,FALSE)),0,VLOOKUP($A189,'3000m handicap'!$C$2:$K$47,9,FALSE))</f>
        <v>0</v>
      </c>
      <c r="L189" s="62">
        <f>IF(ISNA(VLOOKUP($A189,'10 km'!$B$2:$B$50,1,FALSE)),0,VLOOKUP($A189,'10 km'!$B$2:$D$50,3,FALSE))</f>
        <v>0</v>
      </c>
      <c r="M189" s="62">
        <f>IF(ISNA(VLOOKUP($A189,'Peter Moor 2000m'!$C$2:$C$30,1,FALSE)),0,VLOOKUP($A189,'Peter Moor 2000m'!$C$2:$I$30,7,FALSE))</f>
        <v>0</v>
      </c>
      <c r="N189" s="62">
        <f>IF(ISNA(VLOOKUP($A189,'Max Howard Tan handicap'!$C$2:$C$23,1,FALSE)),0,VLOOKUP($A189,'Max Howard Tan handicap'!$C$2:$I$23,7,FALSE))</f>
        <v>0</v>
      </c>
      <c r="O189" s="88">
        <f>IF(ISNA(VLOOKUP($A189,parkrun!$B$2:$H$145,1,FALSE)),0,VLOOKUP($A189,parkrun!$B$2:$H$145,7,FALSE))</f>
        <v>0</v>
      </c>
      <c r="P189" s="133">
        <f>SUM(F189:O189)</f>
        <v>0</v>
      </c>
      <c r="Q189" s="134">
        <f>COUNTIF(F189:O189,"&gt;0")</f>
        <v>0</v>
      </c>
      <c r="R189" s="215">
        <f>SMALL(F189:O189,1)+SMALL(F189:O189,2)</f>
        <v>0</v>
      </c>
      <c r="S189" s="215">
        <f>IF(Q189=1,P189,P189-R189)</f>
        <v>0</v>
      </c>
      <c r="T189" s="216">
        <f>RANK(P189,$P$5:$P$230,0)</f>
        <v>142</v>
      </c>
      <c r="U189" s="26">
        <f>RANK(S189,$S$5:$S$230,0)</f>
        <v>142</v>
      </c>
      <c r="W189" s="113"/>
    </row>
    <row r="190" spans="1:23" x14ac:dyDescent="0.2">
      <c r="A190" s="46" t="s">
        <v>38</v>
      </c>
      <c r="B190" s="81">
        <v>32</v>
      </c>
      <c r="C190" s="81" t="s">
        <v>233</v>
      </c>
      <c r="D190" s="146">
        <v>25449</v>
      </c>
      <c r="E190" s="81" t="s">
        <v>214</v>
      </c>
      <c r="F190" s="61">
        <f>IF(ISNA(VLOOKUP($A190,'2 Bridges Relay'!$F$2:$F$67,1,FALSE)),0,VLOOKUP($A190,'2 Bridges Relay'!$F$2:$J$67,5,FALSE))</f>
        <v>0</v>
      </c>
      <c r="G190" s="88">
        <f>IF(ISNA(VLOOKUP($A190,'5M''s'!$D$2:$E$27,1,FALSE)),0,VLOOKUP($A190,'5M''s'!$D$2:$E$27,2,FALSE))</f>
        <v>0</v>
      </c>
      <c r="H190" s="62">
        <f>IF(ISNA(VLOOKUP($A190,'Mile handicap'!$C$2:$C$51,1,FALSE)),0,VLOOKUP($A190,'Mile handicap'!$C$2:$K$51,9,FALSE))</f>
        <v>0</v>
      </c>
      <c r="I190" s="62">
        <f>IF(ISNA(VLOOKUP($A190,'5000m handicap'!$C$2:$C$46,1,FALSE)),0,VLOOKUP($A190,'5000m handicap'!$C$2:$K$46,9,FALSE))</f>
        <v>0</v>
      </c>
      <c r="J190" s="62">
        <f>IF(ISNA(VLOOKUP($A190,'KL handicap'!$C$2:$C$37,1,FALSE)),0,VLOOKUP($A190,'KL handicap'!$C$2:$I$37,7,FALSE))</f>
        <v>0</v>
      </c>
      <c r="K190" s="62">
        <f>IF(ISNA(VLOOKUP($A190,'3000m handicap'!$C$2:$C$47,1,FALSE)),0,VLOOKUP($A190,'3000m handicap'!$C$2:$K$47,9,FALSE))</f>
        <v>0</v>
      </c>
      <c r="L190" s="62">
        <f>IF(ISNA(VLOOKUP($A190,'10 km'!$B$2:$B$50,1,FALSE)),0,VLOOKUP($A190,'10 km'!$B$2:$D$50,3,FALSE))</f>
        <v>0</v>
      </c>
      <c r="M190" s="62">
        <f>IF(ISNA(VLOOKUP($A190,'Peter Moor 2000m'!$C$2:$C$30,1,FALSE)),0,VLOOKUP($A190,'Peter Moor 2000m'!$C$2:$I$30,7,FALSE))</f>
        <v>0</v>
      </c>
      <c r="N190" s="62">
        <f>IF(ISNA(VLOOKUP($A190,'Max Howard Tan handicap'!$C$2:$C$23,1,FALSE)),0,VLOOKUP($A190,'Max Howard Tan handicap'!$C$2:$I$23,7,FALSE))</f>
        <v>0</v>
      </c>
      <c r="O190" s="88">
        <f>IF(ISNA(VLOOKUP($A190,parkrun!$B$2:$H$145,1,FALSE)),0,VLOOKUP($A190,parkrun!$B$2:$H$145,7,FALSE))</f>
        <v>0</v>
      </c>
      <c r="P190" s="133">
        <f>SUM(F190:O190)</f>
        <v>0</v>
      </c>
      <c r="Q190" s="134">
        <f>COUNTIF(F190:O190,"&gt;0")</f>
        <v>0</v>
      </c>
      <c r="R190" s="215">
        <f>SMALL(F190:O190,1)+SMALL(F190:O190,2)</f>
        <v>0</v>
      </c>
      <c r="S190" s="215">
        <f>IF(Q190=1,P190,P190-R190)</f>
        <v>0</v>
      </c>
      <c r="T190" s="216">
        <f>RANK(P190,$P$5:$P$230,0)</f>
        <v>142</v>
      </c>
      <c r="U190" s="26">
        <f>RANK(S190,$S$5:$S$230,0)</f>
        <v>142</v>
      </c>
      <c r="W190" s="113"/>
    </row>
    <row r="191" spans="1:23" x14ac:dyDescent="0.2">
      <c r="A191" s="46" t="s">
        <v>129</v>
      </c>
      <c r="B191" s="81">
        <v>155</v>
      </c>
      <c r="C191" s="81" t="s">
        <v>233</v>
      </c>
      <c r="D191" s="146">
        <v>39849</v>
      </c>
      <c r="E191" s="81" t="s">
        <v>214</v>
      </c>
      <c r="F191" s="61">
        <f>IF(ISNA(VLOOKUP($A191,'2 Bridges Relay'!$F$2:$F$67,1,FALSE)),0,VLOOKUP($A191,'2 Bridges Relay'!$F$2:$J$67,5,FALSE))</f>
        <v>0</v>
      </c>
      <c r="G191" s="88">
        <f>IF(ISNA(VLOOKUP($A191,'5M''s'!$D$2:$E$27,1,FALSE)),0,VLOOKUP($A191,'5M''s'!$D$2:$E$27,2,FALSE))</f>
        <v>0</v>
      </c>
      <c r="H191" s="62">
        <f>IF(ISNA(VLOOKUP($A191,'Mile handicap'!$C$2:$C$51,1,FALSE)),0,VLOOKUP($A191,'Mile handicap'!$C$2:$K$51,9,FALSE))</f>
        <v>0</v>
      </c>
      <c r="I191" s="62">
        <f>IF(ISNA(VLOOKUP($A191,'5000m handicap'!$C$2:$C$46,1,FALSE)),0,VLOOKUP($A191,'5000m handicap'!$C$2:$K$46,9,FALSE))</f>
        <v>0</v>
      </c>
      <c r="J191" s="62">
        <f>IF(ISNA(VLOOKUP($A191,'KL handicap'!$C$2:$C$37,1,FALSE)),0,VLOOKUP($A191,'KL handicap'!$C$2:$I$37,7,FALSE))</f>
        <v>0</v>
      </c>
      <c r="K191" s="62">
        <f>IF(ISNA(VLOOKUP($A191,'3000m handicap'!$C$2:$C$47,1,FALSE)),0,VLOOKUP($A191,'3000m handicap'!$C$2:$K$47,9,FALSE))</f>
        <v>0</v>
      </c>
      <c r="L191" s="62">
        <f>IF(ISNA(VLOOKUP($A191,'10 km'!$B$2:$B$50,1,FALSE)),0,VLOOKUP($A191,'10 km'!$B$2:$D$50,3,FALSE))</f>
        <v>0</v>
      </c>
      <c r="M191" s="62">
        <f>IF(ISNA(VLOOKUP($A191,'Peter Moor 2000m'!$C$2:$C$30,1,FALSE)),0,VLOOKUP($A191,'Peter Moor 2000m'!$C$2:$I$30,7,FALSE))</f>
        <v>0</v>
      </c>
      <c r="N191" s="62">
        <f>IF(ISNA(VLOOKUP($A191,'Max Howard Tan handicap'!$C$2:$C$23,1,FALSE)),0,VLOOKUP($A191,'Max Howard Tan handicap'!$C$2:$I$23,7,FALSE))</f>
        <v>0</v>
      </c>
      <c r="O191" s="88">
        <f>IF(ISNA(VLOOKUP($A191,parkrun!$B$2:$H$145,1,FALSE)),0,VLOOKUP($A191,parkrun!$B$2:$H$145,7,FALSE))</f>
        <v>0</v>
      </c>
      <c r="P191" s="133">
        <f>SUM(F191:O191)</f>
        <v>0</v>
      </c>
      <c r="Q191" s="134">
        <f>COUNTIF(F191:O191,"&gt;0")</f>
        <v>0</v>
      </c>
      <c r="R191" s="215">
        <f>SMALL(F191:O191,1)+SMALL(F191:O191,2)</f>
        <v>0</v>
      </c>
      <c r="S191" s="215">
        <f>IF(Q191=1,P191,P191-R191)</f>
        <v>0</v>
      </c>
      <c r="T191" s="216">
        <f>RANK(P191,$P$5:$P$230,0)</f>
        <v>142</v>
      </c>
      <c r="U191" s="26">
        <f>RANK(S191,$S$5:$S$230,0)</f>
        <v>142</v>
      </c>
      <c r="W191" s="113"/>
    </row>
    <row r="192" spans="1:23" x14ac:dyDescent="0.2">
      <c r="A192" s="46" t="s">
        <v>253</v>
      </c>
      <c r="B192" s="81">
        <v>232</v>
      </c>
      <c r="C192" s="81" t="s">
        <v>233</v>
      </c>
      <c r="D192" s="146">
        <v>24215</v>
      </c>
      <c r="E192" s="81" t="s">
        <v>196</v>
      </c>
      <c r="F192" s="61">
        <f>IF(ISNA(VLOOKUP($A192,'2 Bridges Relay'!$F$2:$F$67,1,FALSE)),0,VLOOKUP($A192,'2 Bridges Relay'!$F$2:$J$67,5,FALSE))</f>
        <v>0</v>
      </c>
      <c r="G192" s="88">
        <f>IF(ISNA(VLOOKUP($A192,'5M''s'!$D$2:$E$27,1,FALSE)),0,VLOOKUP($A192,'5M''s'!$D$2:$E$27,2,FALSE))</f>
        <v>0</v>
      </c>
      <c r="H192" s="62">
        <f>IF(ISNA(VLOOKUP($A192,'Mile handicap'!$C$2:$C$51,1,FALSE)),0,VLOOKUP($A192,'Mile handicap'!$C$2:$K$51,9,FALSE))</f>
        <v>0</v>
      </c>
      <c r="I192" s="62">
        <f>IF(ISNA(VLOOKUP($A192,'5000m handicap'!$C$2:$C$46,1,FALSE)),0,VLOOKUP($A192,'5000m handicap'!$C$2:$K$46,9,FALSE))</f>
        <v>0</v>
      </c>
      <c r="J192" s="62">
        <f>IF(ISNA(VLOOKUP($A192,'KL handicap'!$C$2:$C$37,1,FALSE)),0,VLOOKUP($A192,'KL handicap'!$C$2:$I$37,7,FALSE))</f>
        <v>0</v>
      </c>
      <c r="K192" s="62">
        <f>IF(ISNA(VLOOKUP($A192,'3000m handicap'!$C$2:$C$47,1,FALSE)),0,VLOOKUP($A192,'3000m handicap'!$C$2:$K$47,9,FALSE))</f>
        <v>0</v>
      </c>
      <c r="L192" s="62">
        <f>IF(ISNA(VLOOKUP($A192,'10 km'!$B$2:$B$50,1,FALSE)),0,VLOOKUP($A192,'10 km'!$B$2:$D$50,3,FALSE))</f>
        <v>0</v>
      </c>
      <c r="M192" s="62">
        <f>IF(ISNA(VLOOKUP($A192,'Peter Moor 2000m'!$C$2:$C$30,1,FALSE)),0,VLOOKUP($A192,'Peter Moor 2000m'!$C$2:$I$30,7,FALSE))</f>
        <v>0</v>
      </c>
      <c r="N192" s="62">
        <f>IF(ISNA(VLOOKUP($A192,'Max Howard Tan handicap'!$C$2:$C$23,1,FALSE)),0,VLOOKUP($A192,'Max Howard Tan handicap'!$C$2:$I$23,7,FALSE))</f>
        <v>0</v>
      </c>
      <c r="O192" s="88">
        <f>IF(ISNA(VLOOKUP($A192,parkrun!$B$2:$H$145,1,FALSE)),0,VLOOKUP($A192,parkrun!$B$2:$H$145,7,FALSE))</f>
        <v>0</v>
      </c>
      <c r="P192" s="133">
        <f>SUM(F192:O192)</f>
        <v>0</v>
      </c>
      <c r="Q192" s="134">
        <f>COUNTIF(F192:O192,"&gt;0")</f>
        <v>0</v>
      </c>
      <c r="R192" s="215">
        <f>SMALL(F192:O192,1)+SMALL(F192:O192,2)</f>
        <v>0</v>
      </c>
      <c r="S192" s="215">
        <f>IF(Q192=1,P192,P192-R192)</f>
        <v>0</v>
      </c>
      <c r="T192" s="216">
        <f>RANK(P192,$P$5:$P$230,0)</f>
        <v>142</v>
      </c>
      <c r="U192" s="26">
        <f>RANK(S192,$S$5:$S$230,0)</f>
        <v>142</v>
      </c>
      <c r="W192" s="113"/>
    </row>
    <row r="193" spans="1:23" x14ac:dyDescent="0.2">
      <c r="A193" s="46" t="s">
        <v>166</v>
      </c>
      <c r="B193" s="81">
        <v>180</v>
      </c>
      <c r="C193" s="81" t="s">
        <v>233</v>
      </c>
      <c r="D193" s="146">
        <v>29406</v>
      </c>
      <c r="E193" s="81" t="s">
        <v>214</v>
      </c>
      <c r="F193" s="61">
        <f>IF(ISNA(VLOOKUP($A193,'2 Bridges Relay'!$F$2:$F$67,1,FALSE)),0,VLOOKUP($A193,'2 Bridges Relay'!$F$2:$J$67,5,FALSE))</f>
        <v>0</v>
      </c>
      <c r="G193" s="88">
        <f>IF(ISNA(VLOOKUP($A193,'5M''s'!$D$2:$E$27,1,FALSE)),0,VLOOKUP($A193,'5M''s'!$D$2:$E$27,2,FALSE))</f>
        <v>0</v>
      </c>
      <c r="H193" s="62">
        <f>IF(ISNA(VLOOKUP($A193,'Mile handicap'!$C$2:$C$51,1,FALSE)),0,VLOOKUP($A193,'Mile handicap'!$C$2:$K$51,9,FALSE))</f>
        <v>0</v>
      </c>
      <c r="I193" s="62">
        <f>IF(ISNA(VLOOKUP($A193,'5000m handicap'!$C$2:$C$46,1,FALSE)),0,VLOOKUP($A193,'5000m handicap'!$C$2:$K$46,9,FALSE))</f>
        <v>0</v>
      </c>
      <c r="J193" s="62">
        <f>IF(ISNA(VLOOKUP($A193,'KL handicap'!$C$2:$C$37,1,FALSE)),0,VLOOKUP($A193,'KL handicap'!$C$2:$I$37,7,FALSE))</f>
        <v>0</v>
      </c>
      <c r="K193" s="62">
        <f>IF(ISNA(VLOOKUP($A193,'3000m handicap'!$C$2:$C$47,1,FALSE)),0,VLOOKUP($A193,'3000m handicap'!$C$2:$K$47,9,FALSE))</f>
        <v>0</v>
      </c>
      <c r="L193" s="62">
        <f>IF(ISNA(VLOOKUP($A193,'10 km'!$B$2:$B$50,1,FALSE)),0,VLOOKUP($A193,'10 km'!$B$2:$D$50,3,FALSE))</f>
        <v>0</v>
      </c>
      <c r="M193" s="62">
        <f>IF(ISNA(VLOOKUP($A193,'Peter Moor 2000m'!$C$2:$C$30,1,FALSE)),0,VLOOKUP($A193,'Peter Moor 2000m'!$C$2:$I$30,7,FALSE))</f>
        <v>0</v>
      </c>
      <c r="N193" s="62">
        <f>IF(ISNA(VLOOKUP($A193,'Max Howard Tan handicap'!$C$2:$C$23,1,FALSE)),0,VLOOKUP($A193,'Max Howard Tan handicap'!$C$2:$I$23,7,FALSE))</f>
        <v>0</v>
      </c>
      <c r="O193" s="88">
        <f>IF(ISNA(VLOOKUP($A193,parkrun!$B$2:$H$145,1,FALSE)),0,VLOOKUP($A193,parkrun!$B$2:$H$145,7,FALSE))</f>
        <v>0</v>
      </c>
      <c r="P193" s="133">
        <f>SUM(F193:O193)</f>
        <v>0</v>
      </c>
      <c r="Q193" s="134">
        <f>COUNTIF(F193:O193,"&gt;0")</f>
        <v>0</v>
      </c>
      <c r="R193" s="215">
        <f>SMALL(F193:O193,1)+SMALL(F193:O193,2)</f>
        <v>0</v>
      </c>
      <c r="S193" s="215">
        <f>IF(Q193=1,P193,P193-R193)</f>
        <v>0</v>
      </c>
      <c r="T193" s="216">
        <f>RANK(P193,$P$5:$P$230,0)</f>
        <v>142</v>
      </c>
      <c r="U193" s="26">
        <f>RANK(S193,$S$5:$S$230,0)</f>
        <v>142</v>
      </c>
      <c r="W193" s="113"/>
    </row>
    <row r="194" spans="1:23" x14ac:dyDescent="0.2">
      <c r="A194" s="46" t="s">
        <v>270</v>
      </c>
      <c r="B194" s="81">
        <v>242</v>
      </c>
      <c r="C194" s="81" t="s">
        <v>233</v>
      </c>
      <c r="D194" s="146">
        <v>28420</v>
      </c>
      <c r="E194" s="81" t="s">
        <v>214</v>
      </c>
      <c r="F194" s="61">
        <f>IF(ISNA(VLOOKUP($A194,'2 Bridges Relay'!$F$2:$F$67,1,FALSE)),0,VLOOKUP($A194,'2 Bridges Relay'!$F$2:$J$67,5,FALSE))</f>
        <v>0</v>
      </c>
      <c r="G194" s="88">
        <f>IF(ISNA(VLOOKUP($A194,'5M''s'!$D$2:$E$27,1,FALSE)),0,VLOOKUP($A194,'5M''s'!$D$2:$E$27,2,FALSE))</f>
        <v>0</v>
      </c>
      <c r="H194" s="62">
        <f>IF(ISNA(VLOOKUP($A194,'Mile handicap'!$C$2:$C$51,1,FALSE)),0,VLOOKUP($A194,'Mile handicap'!$C$2:$K$51,9,FALSE))</f>
        <v>0</v>
      </c>
      <c r="I194" s="62">
        <f>IF(ISNA(VLOOKUP($A194,'5000m handicap'!$C$2:$C$46,1,FALSE)),0,VLOOKUP($A194,'5000m handicap'!$C$2:$K$46,9,FALSE))</f>
        <v>0</v>
      </c>
      <c r="J194" s="62">
        <f>IF(ISNA(VLOOKUP($A194,'KL handicap'!$C$2:$C$37,1,FALSE)),0,VLOOKUP($A194,'KL handicap'!$C$2:$I$37,7,FALSE))</f>
        <v>0</v>
      </c>
      <c r="K194" s="62">
        <f>IF(ISNA(VLOOKUP($A194,'3000m handicap'!$C$2:$C$47,1,FALSE)),0,VLOOKUP($A194,'3000m handicap'!$C$2:$K$47,9,FALSE))</f>
        <v>0</v>
      </c>
      <c r="L194" s="62">
        <f>IF(ISNA(VLOOKUP($A194,'10 km'!$B$2:$B$50,1,FALSE)),0,VLOOKUP($A194,'10 km'!$B$2:$D$50,3,FALSE))</f>
        <v>0</v>
      </c>
      <c r="M194" s="62">
        <f>IF(ISNA(VLOOKUP($A194,'Peter Moor 2000m'!$C$2:$C$30,1,FALSE)),0,VLOOKUP($A194,'Peter Moor 2000m'!$C$2:$I$30,7,FALSE))</f>
        <v>0</v>
      </c>
      <c r="N194" s="62">
        <f>IF(ISNA(VLOOKUP($A194,'Max Howard Tan handicap'!$C$2:$C$23,1,FALSE)),0,VLOOKUP($A194,'Max Howard Tan handicap'!$C$2:$I$23,7,FALSE))</f>
        <v>0</v>
      </c>
      <c r="O194" s="88">
        <f>IF(ISNA(VLOOKUP($A194,parkrun!$B$2:$H$145,1,FALSE)),0,VLOOKUP($A194,parkrun!$B$2:$H$145,7,FALSE))</f>
        <v>0</v>
      </c>
      <c r="P194" s="133">
        <f>SUM(F194:O194)</f>
        <v>0</v>
      </c>
      <c r="Q194" s="134">
        <f>COUNTIF(F194:O194,"&gt;0")</f>
        <v>0</v>
      </c>
      <c r="R194" s="215">
        <f>SMALL(F194:O194,1)+SMALL(F194:O194,2)</f>
        <v>0</v>
      </c>
      <c r="S194" s="215">
        <f>IF(Q194=1,P194,P194-R194)</f>
        <v>0</v>
      </c>
      <c r="T194" s="216">
        <f>RANK(P194,$P$5:$P$230,0)</f>
        <v>142</v>
      </c>
      <c r="U194" s="26">
        <f>RANK(S194,$S$5:$S$230,0)</f>
        <v>142</v>
      </c>
      <c r="W194" s="113"/>
    </row>
    <row r="195" spans="1:23" x14ac:dyDescent="0.2">
      <c r="A195" s="46" t="s">
        <v>202</v>
      </c>
      <c r="B195" s="81">
        <v>208</v>
      </c>
      <c r="C195" s="81" t="s">
        <v>233</v>
      </c>
      <c r="D195" s="146">
        <v>28334</v>
      </c>
      <c r="E195" s="81" t="s">
        <v>214</v>
      </c>
      <c r="F195" s="61">
        <f>IF(ISNA(VLOOKUP($A195,'2 Bridges Relay'!$F$2:$F$67,1,FALSE)),0,VLOOKUP($A195,'2 Bridges Relay'!$F$2:$J$67,5,FALSE))</f>
        <v>0</v>
      </c>
      <c r="G195" s="88">
        <f>IF(ISNA(VLOOKUP($A195,'5M''s'!$D$2:$E$27,1,FALSE)),0,VLOOKUP($A195,'5M''s'!$D$2:$E$27,2,FALSE))</f>
        <v>0</v>
      </c>
      <c r="H195" s="62">
        <f>IF(ISNA(VLOOKUP($A195,'Mile handicap'!$C$2:$C$51,1,FALSE)),0,VLOOKUP($A195,'Mile handicap'!$C$2:$K$51,9,FALSE))</f>
        <v>0</v>
      </c>
      <c r="I195" s="62">
        <f>IF(ISNA(VLOOKUP($A195,'5000m handicap'!$C$2:$C$46,1,FALSE)),0,VLOOKUP($A195,'5000m handicap'!$C$2:$K$46,9,FALSE))</f>
        <v>0</v>
      </c>
      <c r="J195" s="62">
        <f>IF(ISNA(VLOOKUP($A195,'KL handicap'!$C$2:$C$37,1,FALSE)),0,VLOOKUP($A195,'KL handicap'!$C$2:$I$37,7,FALSE))</f>
        <v>0</v>
      </c>
      <c r="K195" s="62">
        <f>IF(ISNA(VLOOKUP($A195,'3000m handicap'!$C$2:$C$47,1,FALSE)),0,VLOOKUP($A195,'3000m handicap'!$C$2:$K$47,9,FALSE))</f>
        <v>0</v>
      </c>
      <c r="L195" s="62">
        <f>IF(ISNA(VLOOKUP($A195,'10 km'!$B$2:$B$50,1,FALSE)),0,VLOOKUP($A195,'10 km'!$B$2:$D$50,3,FALSE))</f>
        <v>0</v>
      </c>
      <c r="M195" s="62">
        <f>IF(ISNA(VLOOKUP($A195,'Peter Moor 2000m'!$C$2:$C$30,1,FALSE)),0,VLOOKUP($A195,'Peter Moor 2000m'!$C$2:$I$30,7,FALSE))</f>
        <v>0</v>
      </c>
      <c r="N195" s="62">
        <f>IF(ISNA(VLOOKUP($A195,'Max Howard Tan handicap'!$C$2:$C$23,1,FALSE)),0,VLOOKUP($A195,'Max Howard Tan handicap'!$C$2:$I$23,7,FALSE))</f>
        <v>0</v>
      </c>
      <c r="O195" s="88">
        <f>IF(ISNA(VLOOKUP($A195,parkrun!$B$2:$H$145,1,FALSE)),0,VLOOKUP($A195,parkrun!$B$2:$H$145,7,FALSE))</f>
        <v>0</v>
      </c>
      <c r="P195" s="133">
        <f>SUM(F195:O195)</f>
        <v>0</v>
      </c>
      <c r="Q195" s="134">
        <f>COUNTIF(F195:O195,"&gt;0")</f>
        <v>0</v>
      </c>
      <c r="R195" s="215">
        <f>SMALL(F195:O195,1)+SMALL(F195:O195,2)</f>
        <v>0</v>
      </c>
      <c r="S195" s="215">
        <f>IF(Q195=1,P195,P195-R195)</f>
        <v>0</v>
      </c>
      <c r="T195" s="216">
        <f>RANK(P195,$P$5:$P$230,0)</f>
        <v>142</v>
      </c>
      <c r="U195" s="26">
        <f>RANK(S195,$S$5:$S$230,0)</f>
        <v>142</v>
      </c>
      <c r="W195" s="113"/>
    </row>
    <row r="196" spans="1:23" x14ac:dyDescent="0.2">
      <c r="A196" s="46" t="s">
        <v>363</v>
      </c>
      <c r="B196" s="81">
        <v>304</v>
      </c>
      <c r="C196" s="81" t="s">
        <v>233</v>
      </c>
      <c r="D196" s="146">
        <v>25499</v>
      </c>
      <c r="E196" s="81" t="s">
        <v>214</v>
      </c>
      <c r="F196" s="61">
        <f>IF(ISNA(VLOOKUP($A196,'2 Bridges Relay'!$F$2:$F$67,1,FALSE)),0,VLOOKUP($A196,'2 Bridges Relay'!$F$2:$J$67,5,FALSE))</f>
        <v>0</v>
      </c>
      <c r="G196" s="88">
        <f>IF(ISNA(VLOOKUP($A196,'5M''s'!$D$2:$E$27,1,FALSE)),0,VLOOKUP($A196,'5M''s'!$D$2:$E$27,2,FALSE))</f>
        <v>0</v>
      </c>
      <c r="H196" s="62">
        <f>IF(ISNA(VLOOKUP($A196,'Mile handicap'!$C$2:$C$51,1,FALSE)),0,VLOOKUP($A196,'Mile handicap'!$C$2:$K$51,9,FALSE))</f>
        <v>0</v>
      </c>
      <c r="I196" s="62">
        <f>IF(ISNA(VLOOKUP($A196,'5000m handicap'!$C$2:$C$46,1,FALSE)),0,VLOOKUP($A196,'5000m handicap'!$C$2:$K$46,9,FALSE))</f>
        <v>0</v>
      </c>
      <c r="J196" s="62">
        <f>IF(ISNA(VLOOKUP($A196,'KL handicap'!$C$2:$C$37,1,FALSE)),0,VLOOKUP($A196,'KL handicap'!$C$2:$I$37,7,FALSE))</f>
        <v>0</v>
      </c>
      <c r="K196" s="62">
        <f>IF(ISNA(VLOOKUP($A196,'3000m handicap'!$C$2:$C$47,1,FALSE)),0,VLOOKUP($A196,'3000m handicap'!$C$2:$K$47,9,FALSE))</f>
        <v>0</v>
      </c>
      <c r="L196" s="62">
        <f>IF(ISNA(VLOOKUP($A196,'10 km'!$B$2:$B$50,1,FALSE)),0,VLOOKUP($A196,'10 km'!$B$2:$D$50,3,FALSE))</f>
        <v>0</v>
      </c>
      <c r="M196" s="62">
        <f>IF(ISNA(VLOOKUP($A196,'Peter Moor 2000m'!$C$2:$C$30,1,FALSE)),0,VLOOKUP($A196,'Peter Moor 2000m'!$C$2:$I$30,7,FALSE))</f>
        <v>0</v>
      </c>
      <c r="N196" s="62">
        <f>IF(ISNA(VLOOKUP($A196,'Max Howard Tan handicap'!$C$2:$C$23,1,FALSE)),0,VLOOKUP($A196,'Max Howard Tan handicap'!$C$2:$I$23,7,FALSE))</f>
        <v>0</v>
      </c>
      <c r="O196" s="88">
        <f>IF(ISNA(VLOOKUP($A196,parkrun!$B$2:$H$145,1,FALSE)),0,VLOOKUP($A196,parkrun!$B$2:$H$145,7,FALSE))</f>
        <v>0</v>
      </c>
      <c r="P196" s="133">
        <f>SUM(F196:O196)</f>
        <v>0</v>
      </c>
      <c r="Q196" s="134">
        <f>COUNTIF(F196:O196,"&gt;0")</f>
        <v>0</v>
      </c>
      <c r="R196" s="215">
        <f>SMALL(F196:O196,1)+SMALL(F196:O196,2)</f>
        <v>0</v>
      </c>
      <c r="S196" s="215">
        <f>IF(Q196=1,P196,P196-R196)</f>
        <v>0</v>
      </c>
      <c r="T196" s="216">
        <f>RANK(P196,$P$5:$P$230,0)</f>
        <v>142</v>
      </c>
      <c r="U196" s="26">
        <f>RANK(S196,$S$5:$S$230,0)</f>
        <v>142</v>
      </c>
      <c r="W196" s="113"/>
    </row>
    <row r="197" spans="1:23" x14ac:dyDescent="0.2">
      <c r="A197" s="46" t="s">
        <v>204</v>
      </c>
      <c r="B197" s="81">
        <v>224</v>
      </c>
      <c r="C197" s="81" t="s">
        <v>233</v>
      </c>
      <c r="D197" s="146">
        <v>24690</v>
      </c>
      <c r="E197" s="81" t="s">
        <v>196</v>
      </c>
      <c r="F197" s="61">
        <f>IF(ISNA(VLOOKUP($A197,'2 Bridges Relay'!$F$2:$F$67,1,FALSE)),0,VLOOKUP($A197,'2 Bridges Relay'!$F$2:$J$67,5,FALSE))</f>
        <v>0</v>
      </c>
      <c r="G197" s="88">
        <f>IF(ISNA(VLOOKUP($A197,'5M''s'!$D$2:$E$27,1,FALSE)),0,VLOOKUP($A197,'5M''s'!$D$2:$E$27,2,FALSE))</f>
        <v>0</v>
      </c>
      <c r="H197" s="62">
        <f>IF(ISNA(VLOOKUP($A197,'Mile handicap'!$C$2:$C$51,1,FALSE)),0,VLOOKUP($A197,'Mile handicap'!$C$2:$K$51,9,FALSE))</f>
        <v>0</v>
      </c>
      <c r="I197" s="62">
        <f>IF(ISNA(VLOOKUP($A197,'5000m handicap'!$C$2:$C$46,1,FALSE)),0,VLOOKUP($A197,'5000m handicap'!$C$2:$K$46,9,FALSE))</f>
        <v>0</v>
      </c>
      <c r="J197" s="62">
        <f>IF(ISNA(VLOOKUP($A197,'KL handicap'!$C$2:$C$37,1,FALSE)),0,VLOOKUP($A197,'KL handicap'!$C$2:$I$37,7,FALSE))</f>
        <v>0</v>
      </c>
      <c r="K197" s="62">
        <f>IF(ISNA(VLOOKUP($A197,'3000m handicap'!$C$2:$C$47,1,FALSE)),0,VLOOKUP($A197,'3000m handicap'!$C$2:$K$47,9,FALSE))</f>
        <v>0</v>
      </c>
      <c r="L197" s="62">
        <f>IF(ISNA(VLOOKUP($A197,'10 km'!$B$2:$B$50,1,FALSE)),0,VLOOKUP($A197,'10 km'!$B$2:$D$50,3,FALSE))</f>
        <v>0</v>
      </c>
      <c r="M197" s="62">
        <f>IF(ISNA(VLOOKUP($A197,'Peter Moor 2000m'!$C$2:$C$30,1,FALSE)),0,VLOOKUP($A197,'Peter Moor 2000m'!$C$2:$I$30,7,FALSE))</f>
        <v>0</v>
      </c>
      <c r="N197" s="62">
        <f>IF(ISNA(VLOOKUP($A197,'Max Howard Tan handicap'!$C$2:$C$23,1,FALSE)),0,VLOOKUP($A197,'Max Howard Tan handicap'!$C$2:$I$23,7,FALSE))</f>
        <v>0</v>
      </c>
      <c r="O197" s="88">
        <f>IF(ISNA(VLOOKUP($A197,parkrun!$B$2:$H$145,1,FALSE)),0,VLOOKUP($A197,parkrun!$B$2:$H$145,7,FALSE))</f>
        <v>0</v>
      </c>
      <c r="P197" s="133">
        <f>SUM(F197:O197)</f>
        <v>0</v>
      </c>
      <c r="Q197" s="134">
        <f>COUNTIF(F197:O197,"&gt;0")</f>
        <v>0</v>
      </c>
      <c r="R197" s="215">
        <f>SMALL(F197:O197,1)+SMALL(F197:O197,2)</f>
        <v>0</v>
      </c>
      <c r="S197" s="215">
        <f>IF(Q197=1,P197,P197-R197)</f>
        <v>0</v>
      </c>
      <c r="T197" s="216">
        <f>RANK(P197,$P$5:$P$230,0)</f>
        <v>142</v>
      </c>
      <c r="U197" s="26">
        <f>RANK(S197,$S$5:$S$230,0)</f>
        <v>142</v>
      </c>
      <c r="W197" s="113"/>
    </row>
    <row r="198" spans="1:23" x14ac:dyDescent="0.2">
      <c r="A198" s="46" t="s">
        <v>101</v>
      </c>
      <c r="B198" s="81">
        <v>132</v>
      </c>
      <c r="C198" s="81" t="s">
        <v>233</v>
      </c>
      <c r="D198" s="146">
        <v>32084</v>
      </c>
      <c r="E198" s="81" t="s">
        <v>214</v>
      </c>
      <c r="F198" s="61">
        <f>IF(ISNA(VLOOKUP($A198,'2 Bridges Relay'!$F$2:$F$67,1,FALSE)),0,VLOOKUP($A198,'2 Bridges Relay'!$F$2:$J$67,5,FALSE))</f>
        <v>0</v>
      </c>
      <c r="G198" s="88">
        <f>IF(ISNA(VLOOKUP($A198,'5M''s'!$D$2:$E$27,1,FALSE)),0,VLOOKUP($A198,'5M''s'!$D$2:$E$27,2,FALSE))</f>
        <v>0</v>
      </c>
      <c r="H198" s="62">
        <f>IF(ISNA(VLOOKUP($A198,'Mile handicap'!$C$2:$C$51,1,FALSE)),0,VLOOKUP($A198,'Mile handicap'!$C$2:$K$51,9,FALSE))</f>
        <v>0</v>
      </c>
      <c r="I198" s="62">
        <f>IF(ISNA(VLOOKUP($A198,'5000m handicap'!$C$2:$C$46,1,FALSE)),0,VLOOKUP($A198,'5000m handicap'!$C$2:$K$46,9,FALSE))</f>
        <v>0</v>
      </c>
      <c r="J198" s="62">
        <f>IF(ISNA(VLOOKUP($A198,'KL handicap'!$C$2:$C$37,1,FALSE)),0,VLOOKUP($A198,'KL handicap'!$C$2:$I$37,7,FALSE))</f>
        <v>0</v>
      </c>
      <c r="K198" s="62">
        <f>IF(ISNA(VLOOKUP($A198,'3000m handicap'!$C$2:$C$47,1,FALSE)),0,VLOOKUP($A198,'3000m handicap'!$C$2:$K$47,9,FALSE))</f>
        <v>0</v>
      </c>
      <c r="L198" s="62">
        <f>IF(ISNA(VLOOKUP($A198,'10 km'!$B$2:$B$50,1,FALSE)),0,VLOOKUP($A198,'10 km'!$B$2:$D$50,3,FALSE))</f>
        <v>0</v>
      </c>
      <c r="M198" s="62">
        <f>IF(ISNA(VLOOKUP($A198,'Peter Moor 2000m'!$C$2:$C$30,1,FALSE)),0,VLOOKUP($A198,'Peter Moor 2000m'!$C$2:$I$30,7,FALSE))</f>
        <v>0</v>
      </c>
      <c r="N198" s="62">
        <f>IF(ISNA(VLOOKUP($A198,'Max Howard Tan handicap'!$C$2:$C$23,1,FALSE)),0,VLOOKUP($A198,'Max Howard Tan handicap'!$C$2:$I$23,7,FALSE))</f>
        <v>0</v>
      </c>
      <c r="O198" s="88">
        <f>IF(ISNA(VLOOKUP($A198,parkrun!$B$2:$H$145,1,FALSE)),0,VLOOKUP($A198,parkrun!$B$2:$H$145,7,FALSE))</f>
        <v>0</v>
      </c>
      <c r="P198" s="133">
        <f>SUM(F198:O198)</f>
        <v>0</v>
      </c>
      <c r="Q198" s="134">
        <f>COUNTIF(F198:O198,"&gt;0")</f>
        <v>0</v>
      </c>
      <c r="R198" s="215">
        <f>SMALL(F198:O198,1)+SMALL(F198:O198,2)</f>
        <v>0</v>
      </c>
      <c r="S198" s="215">
        <f>IF(Q198=1,P198,P198-R198)</f>
        <v>0</v>
      </c>
      <c r="T198" s="216">
        <f>RANK(P198,$P$5:$P$230,0)</f>
        <v>142</v>
      </c>
      <c r="U198" s="26">
        <f>RANK(S198,$S$5:$S$230,0)</f>
        <v>142</v>
      </c>
      <c r="W198" s="113"/>
    </row>
    <row r="199" spans="1:23" x14ac:dyDescent="0.2">
      <c r="A199" s="46" t="s">
        <v>345</v>
      </c>
      <c r="B199" s="81">
        <v>281</v>
      </c>
      <c r="C199" s="81" t="s">
        <v>233</v>
      </c>
      <c r="D199" s="146">
        <v>29477</v>
      </c>
      <c r="E199" s="81" t="s">
        <v>214</v>
      </c>
      <c r="F199" s="61">
        <f>IF(ISNA(VLOOKUP($A199,'2 Bridges Relay'!$F$2:$F$67,1,FALSE)),0,VLOOKUP($A199,'2 Bridges Relay'!$F$2:$J$67,5,FALSE))</f>
        <v>0</v>
      </c>
      <c r="G199" s="88">
        <f>IF(ISNA(VLOOKUP($A199,'5M''s'!$D$2:$E$27,1,FALSE)),0,VLOOKUP($A199,'5M''s'!$D$2:$E$27,2,FALSE))</f>
        <v>0</v>
      </c>
      <c r="H199" s="62">
        <f>IF(ISNA(VLOOKUP($A199,'Mile handicap'!$C$2:$C$51,1,FALSE)),0,VLOOKUP($A199,'Mile handicap'!$C$2:$K$51,9,FALSE))</f>
        <v>0</v>
      </c>
      <c r="I199" s="62">
        <f>IF(ISNA(VLOOKUP($A199,'5000m handicap'!$C$2:$C$46,1,FALSE)),0,VLOOKUP($A199,'5000m handicap'!$C$2:$K$46,9,FALSE))</f>
        <v>0</v>
      </c>
      <c r="J199" s="62">
        <f>IF(ISNA(VLOOKUP($A199,'KL handicap'!$C$2:$C$37,1,FALSE)),0,VLOOKUP($A199,'KL handicap'!$C$2:$I$37,7,FALSE))</f>
        <v>0</v>
      </c>
      <c r="K199" s="62">
        <f>IF(ISNA(VLOOKUP($A199,'3000m handicap'!$C$2:$C$47,1,FALSE)),0,VLOOKUP($A199,'3000m handicap'!$C$2:$K$47,9,FALSE))</f>
        <v>0</v>
      </c>
      <c r="L199" s="62">
        <f>IF(ISNA(VLOOKUP($A199,'10 km'!$B$2:$B$50,1,FALSE)),0,VLOOKUP($A199,'10 km'!$B$2:$D$50,3,FALSE))</f>
        <v>0</v>
      </c>
      <c r="M199" s="62">
        <f>IF(ISNA(VLOOKUP($A199,'Peter Moor 2000m'!$C$2:$C$30,1,FALSE)),0,VLOOKUP($A199,'Peter Moor 2000m'!$C$2:$I$30,7,FALSE))</f>
        <v>0</v>
      </c>
      <c r="N199" s="62">
        <f>IF(ISNA(VLOOKUP($A199,'Max Howard Tan handicap'!$C$2:$C$23,1,FALSE)),0,VLOOKUP($A199,'Max Howard Tan handicap'!$C$2:$I$23,7,FALSE))</f>
        <v>0</v>
      </c>
      <c r="O199" s="88">
        <f>IF(ISNA(VLOOKUP($A199,parkrun!$B$2:$H$145,1,FALSE)),0,VLOOKUP($A199,parkrun!$B$2:$H$145,7,FALSE))</f>
        <v>0</v>
      </c>
      <c r="P199" s="133">
        <f>SUM(F199:O199)</f>
        <v>0</v>
      </c>
      <c r="Q199" s="134">
        <f>COUNTIF(F199:O199,"&gt;0")</f>
        <v>0</v>
      </c>
      <c r="R199" s="215">
        <f>SMALL(F199:O199,1)+SMALL(F199:O199,2)</f>
        <v>0</v>
      </c>
      <c r="S199" s="215">
        <f>IF(Q199=1,P199,P199-R199)</f>
        <v>0</v>
      </c>
      <c r="T199" s="216">
        <f>RANK(P199,$P$5:$P$230,0)</f>
        <v>142</v>
      </c>
      <c r="U199" s="26">
        <f>RANK(S199,$S$5:$S$230,0)</f>
        <v>142</v>
      </c>
      <c r="W199" s="113"/>
    </row>
    <row r="200" spans="1:23" x14ac:dyDescent="0.2">
      <c r="A200" s="46" t="s">
        <v>671</v>
      </c>
      <c r="B200" s="81">
        <v>336</v>
      </c>
      <c r="C200" s="81" t="s">
        <v>233</v>
      </c>
      <c r="D200" s="146">
        <v>29929</v>
      </c>
      <c r="E200" s="81" t="s">
        <v>214</v>
      </c>
      <c r="F200" s="61">
        <f>IF(ISNA(VLOOKUP($A200,'2 Bridges Relay'!$F$2:$F$67,1,FALSE)),0,VLOOKUP($A200,'2 Bridges Relay'!$F$2:$J$67,5,FALSE))</f>
        <v>0</v>
      </c>
      <c r="G200" s="88">
        <f>IF(ISNA(VLOOKUP($A200,'5M''s'!$D$2:$E$27,1,FALSE)),0,VLOOKUP($A200,'5M''s'!$D$2:$E$27,2,FALSE))</f>
        <v>0</v>
      </c>
      <c r="H200" s="62">
        <f>IF(ISNA(VLOOKUP($A200,'Mile handicap'!$C$2:$C$51,1,FALSE)),0,VLOOKUP($A200,'Mile handicap'!$C$2:$K$51,9,FALSE))</f>
        <v>0</v>
      </c>
      <c r="I200" s="62">
        <f>IF(ISNA(VLOOKUP($A200,'5000m handicap'!$C$2:$C$46,1,FALSE)),0,VLOOKUP($A200,'5000m handicap'!$C$2:$K$46,9,FALSE))</f>
        <v>0</v>
      </c>
      <c r="J200" s="62">
        <f>IF(ISNA(VLOOKUP($A200,'KL handicap'!$C$2:$C$37,1,FALSE)),0,VLOOKUP($A200,'KL handicap'!$C$2:$I$37,7,FALSE))</f>
        <v>0</v>
      </c>
      <c r="K200" s="62">
        <f>IF(ISNA(VLOOKUP($A200,'3000m handicap'!$C$2:$C$47,1,FALSE)),0,VLOOKUP($A200,'3000m handicap'!$C$2:$K$47,9,FALSE))</f>
        <v>0</v>
      </c>
      <c r="L200" s="62">
        <f>IF(ISNA(VLOOKUP($A200,'10 km'!$B$2:$B$50,1,FALSE)),0,VLOOKUP($A200,'10 km'!$B$2:$D$50,3,FALSE))</f>
        <v>0</v>
      </c>
      <c r="M200" s="62">
        <f>IF(ISNA(VLOOKUP($A200,'Peter Moor 2000m'!$C$2:$C$30,1,FALSE)),0,VLOOKUP($A200,'Peter Moor 2000m'!$C$2:$I$30,7,FALSE))</f>
        <v>0</v>
      </c>
      <c r="N200" s="62">
        <f>IF(ISNA(VLOOKUP($A200,'Max Howard Tan handicap'!$C$2:$C$23,1,FALSE)),0,VLOOKUP($A200,'Max Howard Tan handicap'!$C$2:$I$23,7,FALSE))</f>
        <v>0</v>
      </c>
      <c r="O200" s="88">
        <f>IF(ISNA(VLOOKUP($A200,parkrun!$B$2:$H$145,1,FALSE)),0,VLOOKUP($A200,parkrun!$B$2:$H$145,7,FALSE))</f>
        <v>0</v>
      </c>
      <c r="P200" s="133">
        <f>SUM(F200:O200)</f>
        <v>0</v>
      </c>
      <c r="Q200" s="134">
        <f>COUNTIF(F200:O200,"&gt;0")</f>
        <v>0</v>
      </c>
      <c r="R200" s="215">
        <f>SMALL(F200:O200,1)+SMALL(F200:O200,2)</f>
        <v>0</v>
      </c>
      <c r="S200" s="215">
        <f>IF(Q200=1,P200,P200-R200)</f>
        <v>0</v>
      </c>
      <c r="T200" s="216">
        <f>RANK(P200,$P$5:$P$230,0)</f>
        <v>142</v>
      </c>
      <c r="U200" s="26">
        <f>RANK(S200,$S$5:$S$230,0)</f>
        <v>142</v>
      </c>
      <c r="W200" s="113"/>
    </row>
    <row r="201" spans="1:23" x14ac:dyDescent="0.2">
      <c r="A201" s="46" t="s">
        <v>205</v>
      </c>
      <c r="B201" s="81">
        <v>222</v>
      </c>
      <c r="C201" s="81" t="s">
        <v>233</v>
      </c>
      <c r="D201" s="146">
        <v>24519</v>
      </c>
      <c r="E201" s="81" t="s">
        <v>196</v>
      </c>
      <c r="F201" s="61">
        <f>IF(ISNA(VLOOKUP($A201,'2 Bridges Relay'!$F$2:$F$67,1,FALSE)),0,VLOOKUP($A201,'2 Bridges Relay'!$F$2:$J$67,5,FALSE))</f>
        <v>0</v>
      </c>
      <c r="G201" s="88">
        <f>IF(ISNA(VLOOKUP($A201,'5M''s'!$D$2:$E$27,1,FALSE)),0,VLOOKUP($A201,'5M''s'!$D$2:$E$27,2,FALSE))</f>
        <v>0</v>
      </c>
      <c r="H201" s="62">
        <f>IF(ISNA(VLOOKUP($A201,'Mile handicap'!$C$2:$C$51,1,FALSE)),0,VLOOKUP($A201,'Mile handicap'!$C$2:$K$51,9,FALSE))</f>
        <v>0</v>
      </c>
      <c r="I201" s="62">
        <f>IF(ISNA(VLOOKUP($A201,'5000m handicap'!$C$2:$C$46,1,FALSE)),0,VLOOKUP($A201,'5000m handicap'!$C$2:$K$46,9,FALSE))</f>
        <v>0</v>
      </c>
      <c r="J201" s="62">
        <f>IF(ISNA(VLOOKUP($A201,'KL handicap'!$C$2:$C$37,1,FALSE)),0,VLOOKUP($A201,'KL handicap'!$C$2:$I$37,7,FALSE))</f>
        <v>0</v>
      </c>
      <c r="K201" s="62">
        <f>IF(ISNA(VLOOKUP($A201,'3000m handicap'!$C$2:$C$47,1,FALSE)),0,VLOOKUP($A201,'3000m handicap'!$C$2:$K$47,9,FALSE))</f>
        <v>0</v>
      </c>
      <c r="L201" s="62">
        <f>IF(ISNA(VLOOKUP($A201,'10 km'!$B$2:$B$50,1,FALSE)),0,VLOOKUP($A201,'10 km'!$B$2:$D$50,3,FALSE))</f>
        <v>0</v>
      </c>
      <c r="M201" s="62">
        <f>IF(ISNA(VLOOKUP($A201,'Peter Moor 2000m'!$C$2:$C$30,1,FALSE)),0,VLOOKUP($A201,'Peter Moor 2000m'!$C$2:$I$30,7,FALSE))</f>
        <v>0</v>
      </c>
      <c r="N201" s="62">
        <f>IF(ISNA(VLOOKUP($A201,'Max Howard Tan handicap'!$C$2:$C$23,1,FALSE)),0,VLOOKUP($A201,'Max Howard Tan handicap'!$C$2:$I$23,7,FALSE))</f>
        <v>0</v>
      </c>
      <c r="O201" s="88">
        <f>IF(ISNA(VLOOKUP($A201,parkrun!$B$2:$H$145,1,FALSE)),0,VLOOKUP($A201,parkrun!$B$2:$H$145,7,FALSE))</f>
        <v>0</v>
      </c>
      <c r="P201" s="133">
        <f>SUM(F201:O201)</f>
        <v>0</v>
      </c>
      <c r="Q201" s="134">
        <f>COUNTIF(F201:O201,"&gt;0")</f>
        <v>0</v>
      </c>
      <c r="R201" s="215">
        <f>SMALL(F201:O201,1)+SMALL(F201:O201,2)</f>
        <v>0</v>
      </c>
      <c r="S201" s="215">
        <f>IF(Q201=1,P201,P201-R201)</f>
        <v>0</v>
      </c>
      <c r="T201" s="216">
        <f>RANK(P201,$P$5:$P$230,0)</f>
        <v>142</v>
      </c>
      <c r="U201" s="26">
        <f>RANK(S201,$S$5:$S$230,0)</f>
        <v>142</v>
      </c>
      <c r="W201" s="113"/>
    </row>
    <row r="202" spans="1:23" x14ac:dyDescent="0.2">
      <c r="A202" s="46" t="s">
        <v>65</v>
      </c>
      <c r="B202" s="81">
        <v>4</v>
      </c>
      <c r="C202" s="81" t="s">
        <v>233</v>
      </c>
      <c r="D202" s="146">
        <v>19146</v>
      </c>
      <c r="E202" s="81" t="s">
        <v>196</v>
      </c>
      <c r="F202" s="61">
        <f>IF(ISNA(VLOOKUP($A202,'2 Bridges Relay'!$F$2:$F$67,1,FALSE)),0,VLOOKUP($A202,'2 Bridges Relay'!$F$2:$J$67,5,FALSE))</f>
        <v>0</v>
      </c>
      <c r="G202" s="88">
        <f>IF(ISNA(VLOOKUP($A202,'5M''s'!$D$2:$E$27,1,FALSE)),0,VLOOKUP($A202,'5M''s'!$D$2:$E$27,2,FALSE))</f>
        <v>0</v>
      </c>
      <c r="H202" s="62">
        <f>IF(ISNA(VLOOKUP($A202,'Mile handicap'!$C$2:$C$51,1,FALSE)),0,VLOOKUP($A202,'Mile handicap'!$C$2:$K$51,9,FALSE))</f>
        <v>0</v>
      </c>
      <c r="I202" s="62">
        <f>IF(ISNA(VLOOKUP($A202,'5000m handicap'!$C$2:$C$46,1,FALSE)),0,VLOOKUP($A202,'5000m handicap'!$C$2:$K$46,9,FALSE))</f>
        <v>0</v>
      </c>
      <c r="J202" s="62">
        <f>IF(ISNA(VLOOKUP($A202,'KL handicap'!$C$2:$C$37,1,FALSE)),0,VLOOKUP($A202,'KL handicap'!$C$2:$I$37,7,FALSE))</f>
        <v>0</v>
      </c>
      <c r="K202" s="62">
        <f>IF(ISNA(VLOOKUP($A202,'3000m handicap'!$C$2:$C$47,1,FALSE)),0,VLOOKUP($A202,'3000m handicap'!$C$2:$K$47,9,FALSE))</f>
        <v>0</v>
      </c>
      <c r="L202" s="62">
        <f>IF(ISNA(VLOOKUP($A202,'10 km'!$B$2:$B$50,1,FALSE)),0,VLOOKUP($A202,'10 km'!$B$2:$D$50,3,FALSE))</f>
        <v>0</v>
      </c>
      <c r="M202" s="62">
        <f>IF(ISNA(VLOOKUP($A202,'Peter Moor 2000m'!$C$2:$C$30,1,FALSE)),0,VLOOKUP($A202,'Peter Moor 2000m'!$C$2:$I$30,7,FALSE))</f>
        <v>0</v>
      </c>
      <c r="N202" s="62">
        <f>IF(ISNA(VLOOKUP($A202,'Max Howard Tan handicap'!$C$2:$C$23,1,FALSE)),0,VLOOKUP($A202,'Max Howard Tan handicap'!$C$2:$I$23,7,FALSE))</f>
        <v>0</v>
      </c>
      <c r="O202" s="88">
        <f>IF(ISNA(VLOOKUP($A202,parkrun!$B$2:$H$145,1,FALSE)),0,VLOOKUP($A202,parkrun!$B$2:$H$145,7,FALSE))</f>
        <v>0</v>
      </c>
      <c r="P202" s="133">
        <f>SUM(F202:O202)</f>
        <v>0</v>
      </c>
      <c r="Q202" s="134">
        <f>COUNTIF(F202:O202,"&gt;0")</f>
        <v>0</v>
      </c>
      <c r="R202" s="215">
        <f>SMALL(F202:O202,1)+SMALL(F202:O202,2)</f>
        <v>0</v>
      </c>
      <c r="S202" s="215">
        <f>IF(Q202=1,P202,P202-R202)</f>
        <v>0</v>
      </c>
      <c r="T202" s="216">
        <f>RANK(P202,$P$5:$P$230,0)</f>
        <v>142</v>
      </c>
      <c r="U202" s="26">
        <f>RANK(S202,$S$5:$S$230,0)</f>
        <v>142</v>
      </c>
      <c r="W202" s="113"/>
    </row>
    <row r="203" spans="1:23" x14ac:dyDescent="0.2">
      <c r="A203" s="46" t="s">
        <v>374</v>
      </c>
      <c r="B203" s="81">
        <v>306</v>
      </c>
      <c r="C203" s="81" t="s">
        <v>233</v>
      </c>
      <c r="D203" s="146">
        <v>24901</v>
      </c>
      <c r="E203" s="81" t="s">
        <v>214</v>
      </c>
      <c r="F203" s="61">
        <f>IF(ISNA(VLOOKUP($A203,'2 Bridges Relay'!$F$2:$F$67,1,FALSE)),0,VLOOKUP($A203,'2 Bridges Relay'!$F$2:$J$67,5,FALSE))</f>
        <v>0</v>
      </c>
      <c r="G203" s="88">
        <f>IF(ISNA(VLOOKUP($A203,'5M''s'!$D$2:$E$27,1,FALSE)),0,VLOOKUP($A203,'5M''s'!$D$2:$E$27,2,FALSE))</f>
        <v>0</v>
      </c>
      <c r="H203" s="62">
        <f>IF(ISNA(VLOOKUP($A203,'Mile handicap'!$C$2:$C$51,1,FALSE)),0,VLOOKUP($A203,'Mile handicap'!$C$2:$K$51,9,FALSE))</f>
        <v>0</v>
      </c>
      <c r="I203" s="62">
        <f>IF(ISNA(VLOOKUP($A203,'5000m handicap'!$C$2:$C$46,1,FALSE)),0,VLOOKUP($A203,'5000m handicap'!$C$2:$K$46,9,FALSE))</f>
        <v>0</v>
      </c>
      <c r="J203" s="62">
        <f>IF(ISNA(VLOOKUP($A203,'KL handicap'!$C$2:$C$37,1,FALSE)),0,VLOOKUP($A203,'KL handicap'!$C$2:$I$37,7,FALSE))</f>
        <v>0</v>
      </c>
      <c r="K203" s="62">
        <f>IF(ISNA(VLOOKUP($A203,'3000m handicap'!$C$2:$C$47,1,FALSE)),0,VLOOKUP($A203,'3000m handicap'!$C$2:$K$47,9,FALSE))</f>
        <v>0</v>
      </c>
      <c r="L203" s="62">
        <f>IF(ISNA(VLOOKUP($A203,'10 km'!$B$2:$B$50,1,FALSE)),0,VLOOKUP($A203,'10 km'!$B$2:$D$50,3,FALSE))</f>
        <v>0</v>
      </c>
      <c r="M203" s="62">
        <f>IF(ISNA(VLOOKUP($A203,'Peter Moor 2000m'!$C$2:$C$30,1,FALSE)),0,VLOOKUP($A203,'Peter Moor 2000m'!$C$2:$I$30,7,FALSE))</f>
        <v>0</v>
      </c>
      <c r="N203" s="62">
        <f>IF(ISNA(VLOOKUP($A203,'Max Howard Tan handicap'!$C$2:$C$23,1,FALSE)),0,VLOOKUP($A203,'Max Howard Tan handicap'!$C$2:$I$23,7,FALSE))</f>
        <v>0</v>
      </c>
      <c r="O203" s="88">
        <f>IF(ISNA(VLOOKUP($A203,parkrun!$B$2:$H$145,1,FALSE)),0,VLOOKUP($A203,parkrun!$B$2:$H$145,7,FALSE))</f>
        <v>0</v>
      </c>
      <c r="P203" s="133">
        <f>SUM(F203:O203)</f>
        <v>0</v>
      </c>
      <c r="Q203" s="134">
        <f>COUNTIF(F203:O203,"&gt;0")</f>
        <v>0</v>
      </c>
      <c r="R203" s="215">
        <f>SMALL(F203:O203,1)+SMALL(F203:O203,2)</f>
        <v>0</v>
      </c>
      <c r="S203" s="215">
        <f>IF(Q203=1,P203,P203-R203)</f>
        <v>0</v>
      </c>
      <c r="T203" s="216">
        <f>RANK(P203,$P$5:$P$230,0)</f>
        <v>142</v>
      </c>
      <c r="U203" s="26">
        <f>RANK(S203,$S$5:$S$230,0)</f>
        <v>142</v>
      </c>
      <c r="W203" s="113"/>
    </row>
    <row r="204" spans="1:23" x14ac:dyDescent="0.2">
      <c r="A204" s="46" t="s">
        <v>267</v>
      </c>
      <c r="B204" s="81">
        <v>243</v>
      </c>
      <c r="C204" s="81" t="s">
        <v>233</v>
      </c>
      <c r="D204" s="146">
        <v>29166</v>
      </c>
      <c r="E204" s="81" t="s">
        <v>214</v>
      </c>
      <c r="F204" s="61">
        <f>IF(ISNA(VLOOKUP($A204,'2 Bridges Relay'!$F$2:$F$67,1,FALSE)),0,VLOOKUP($A204,'2 Bridges Relay'!$F$2:$J$67,5,FALSE))</f>
        <v>0</v>
      </c>
      <c r="G204" s="88">
        <f>IF(ISNA(VLOOKUP($A204,'5M''s'!$D$2:$E$27,1,FALSE)),0,VLOOKUP($A204,'5M''s'!$D$2:$E$27,2,FALSE))</f>
        <v>0</v>
      </c>
      <c r="H204" s="62">
        <f>IF(ISNA(VLOOKUP($A204,'Mile handicap'!$C$2:$C$51,1,FALSE)),0,VLOOKUP($A204,'Mile handicap'!$C$2:$K$51,9,FALSE))</f>
        <v>0</v>
      </c>
      <c r="I204" s="62">
        <f>IF(ISNA(VLOOKUP($A204,'5000m handicap'!$C$2:$C$46,1,FALSE)),0,VLOOKUP($A204,'5000m handicap'!$C$2:$K$46,9,FALSE))</f>
        <v>0</v>
      </c>
      <c r="J204" s="62">
        <f>IF(ISNA(VLOOKUP($A204,'KL handicap'!$C$2:$C$37,1,FALSE)),0,VLOOKUP($A204,'KL handicap'!$C$2:$I$37,7,FALSE))</f>
        <v>0</v>
      </c>
      <c r="K204" s="62">
        <f>IF(ISNA(VLOOKUP($A204,'3000m handicap'!$C$2:$C$47,1,FALSE)),0,VLOOKUP($A204,'3000m handicap'!$C$2:$K$47,9,FALSE))</f>
        <v>0</v>
      </c>
      <c r="L204" s="62">
        <f>IF(ISNA(VLOOKUP($A204,'10 km'!$B$2:$B$50,1,FALSE)),0,VLOOKUP($A204,'10 km'!$B$2:$D$50,3,FALSE))</f>
        <v>0</v>
      </c>
      <c r="M204" s="62">
        <f>IF(ISNA(VLOOKUP($A204,'Peter Moor 2000m'!$C$2:$C$30,1,FALSE)),0,VLOOKUP($A204,'Peter Moor 2000m'!$C$2:$I$30,7,FALSE))</f>
        <v>0</v>
      </c>
      <c r="N204" s="62">
        <f>IF(ISNA(VLOOKUP($A204,'Max Howard Tan handicap'!$C$2:$C$23,1,FALSE)),0,VLOOKUP($A204,'Max Howard Tan handicap'!$C$2:$I$23,7,FALSE))</f>
        <v>0</v>
      </c>
      <c r="O204" s="88">
        <f>IF(ISNA(VLOOKUP($A204,parkrun!$B$2:$H$145,1,FALSE)),0,VLOOKUP($A204,parkrun!$B$2:$H$145,7,FALSE))</f>
        <v>0</v>
      </c>
      <c r="P204" s="133">
        <f>SUM(F204:O204)</f>
        <v>0</v>
      </c>
      <c r="Q204" s="134">
        <f>COUNTIF(F204:O204,"&gt;0")</f>
        <v>0</v>
      </c>
      <c r="R204" s="215">
        <f>SMALL(F204:O204,1)+SMALL(F204:O204,2)</f>
        <v>0</v>
      </c>
      <c r="S204" s="215">
        <f>IF(Q204=1,P204,P204-R204)</f>
        <v>0</v>
      </c>
      <c r="T204" s="216">
        <f>RANK(P204,$P$5:$P$230,0)</f>
        <v>142</v>
      </c>
      <c r="U204" s="26">
        <f>RANK(S204,$S$5:$S$230,0)</f>
        <v>142</v>
      </c>
      <c r="W204" s="113"/>
    </row>
    <row r="205" spans="1:23" x14ac:dyDescent="0.2">
      <c r="A205" s="46" t="s">
        <v>348</v>
      </c>
      <c r="B205" s="81">
        <v>289</v>
      </c>
      <c r="C205" s="81" t="s">
        <v>233</v>
      </c>
      <c r="D205" s="146">
        <v>29309</v>
      </c>
      <c r="E205" s="81" t="s">
        <v>214</v>
      </c>
      <c r="F205" s="61">
        <f>IF(ISNA(VLOOKUP($A205,'2 Bridges Relay'!$F$2:$F$67,1,FALSE)),0,VLOOKUP($A205,'2 Bridges Relay'!$F$2:$J$67,5,FALSE))</f>
        <v>0</v>
      </c>
      <c r="G205" s="88">
        <f>IF(ISNA(VLOOKUP($A205,'5M''s'!$D$2:$E$27,1,FALSE)),0,VLOOKUP($A205,'5M''s'!$D$2:$E$27,2,FALSE))</f>
        <v>0</v>
      </c>
      <c r="H205" s="62">
        <f>IF(ISNA(VLOOKUP($A205,'Mile handicap'!$C$2:$C$51,1,FALSE)),0,VLOOKUP($A205,'Mile handicap'!$C$2:$K$51,9,FALSE))</f>
        <v>0</v>
      </c>
      <c r="I205" s="62">
        <f>IF(ISNA(VLOOKUP($A205,'5000m handicap'!$C$2:$C$46,1,FALSE)),0,VLOOKUP($A205,'5000m handicap'!$C$2:$K$46,9,FALSE))</f>
        <v>0</v>
      </c>
      <c r="J205" s="62">
        <f>IF(ISNA(VLOOKUP($A205,'KL handicap'!$C$2:$C$37,1,FALSE)),0,VLOOKUP($A205,'KL handicap'!$C$2:$I$37,7,FALSE))</f>
        <v>0</v>
      </c>
      <c r="K205" s="62">
        <f>IF(ISNA(VLOOKUP($A205,'3000m handicap'!$C$2:$C$47,1,FALSE)),0,VLOOKUP($A205,'3000m handicap'!$C$2:$K$47,9,FALSE))</f>
        <v>0</v>
      </c>
      <c r="L205" s="62">
        <f>IF(ISNA(VLOOKUP($A205,'10 km'!$B$2:$B$50,1,FALSE)),0,VLOOKUP($A205,'10 km'!$B$2:$D$50,3,FALSE))</f>
        <v>0</v>
      </c>
      <c r="M205" s="62">
        <f>IF(ISNA(VLOOKUP($A205,'Peter Moor 2000m'!$C$2:$C$30,1,FALSE)),0,VLOOKUP($A205,'Peter Moor 2000m'!$C$2:$I$30,7,FALSE))</f>
        <v>0</v>
      </c>
      <c r="N205" s="62">
        <f>IF(ISNA(VLOOKUP($A205,'Max Howard Tan handicap'!$C$2:$C$23,1,FALSE)),0,VLOOKUP($A205,'Max Howard Tan handicap'!$C$2:$I$23,7,FALSE))</f>
        <v>0</v>
      </c>
      <c r="O205" s="88">
        <f>IF(ISNA(VLOOKUP($A205,parkrun!$B$2:$H$145,1,FALSE)),0,VLOOKUP($A205,parkrun!$B$2:$H$145,7,FALSE))</f>
        <v>0</v>
      </c>
      <c r="P205" s="133">
        <f>SUM(F205:O205)</f>
        <v>0</v>
      </c>
      <c r="Q205" s="134">
        <f>COUNTIF(F205:O205,"&gt;0")</f>
        <v>0</v>
      </c>
      <c r="R205" s="215">
        <f>SMALL(F205:O205,1)+SMALL(F205:O205,2)</f>
        <v>0</v>
      </c>
      <c r="S205" s="215">
        <f>IF(Q205=1,P205,P205-R205)</f>
        <v>0</v>
      </c>
      <c r="T205" s="216">
        <f>RANK(P205,$P$5:$P$230,0)</f>
        <v>142</v>
      </c>
      <c r="U205" s="26">
        <f>RANK(S205,$S$5:$S$230,0)</f>
        <v>142</v>
      </c>
      <c r="W205" s="113"/>
    </row>
    <row r="206" spans="1:23" x14ac:dyDescent="0.2">
      <c r="A206" s="46" t="s">
        <v>670</v>
      </c>
      <c r="B206" s="81">
        <v>335</v>
      </c>
      <c r="C206" s="81" t="s">
        <v>233</v>
      </c>
      <c r="D206" s="146">
        <v>34839</v>
      </c>
      <c r="E206" s="81" t="s">
        <v>214</v>
      </c>
      <c r="F206" s="61">
        <f>IF(ISNA(VLOOKUP($A206,'2 Bridges Relay'!$F$2:$F$67,1,FALSE)),0,VLOOKUP($A206,'2 Bridges Relay'!$F$2:$J$67,5,FALSE))</f>
        <v>0</v>
      </c>
      <c r="G206" s="88">
        <f>IF(ISNA(VLOOKUP($A206,'5M''s'!$D$2:$E$27,1,FALSE)),0,VLOOKUP($A206,'5M''s'!$D$2:$E$27,2,FALSE))</f>
        <v>0</v>
      </c>
      <c r="H206" s="62">
        <f>IF(ISNA(VLOOKUP($A206,'Mile handicap'!$C$2:$C$51,1,FALSE)),0,VLOOKUP($A206,'Mile handicap'!$C$2:$K$51,9,FALSE))</f>
        <v>0</v>
      </c>
      <c r="I206" s="62">
        <f>IF(ISNA(VLOOKUP($A206,'5000m handicap'!$C$2:$C$46,1,FALSE)),0,VLOOKUP($A206,'5000m handicap'!$C$2:$K$46,9,FALSE))</f>
        <v>0</v>
      </c>
      <c r="J206" s="62">
        <f>IF(ISNA(VLOOKUP($A206,'KL handicap'!$C$2:$C$37,1,FALSE)),0,VLOOKUP($A206,'KL handicap'!$C$2:$I$37,7,FALSE))</f>
        <v>0</v>
      </c>
      <c r="K206" s="62">
        <f>IF(ISNA(VLOOKUP($A206,'3000m handicap'!$C$2:$C$47,1,FALSE)),0,VLOOKUP($A206,'3000m handicap'!$C$2:$K$47,9,FALSE))</f>
        <v>0</v>
      </c>
      <c r="L206" s="62">
        <f>IF(ISNA(VLOOKUP($A206,'10 km'!$B$2:$B$50,1,FALSE)),0,VLOOKUP($A206,'10 km'!$B$2:$D$50,3,FALSE))</f>
        <v>0</v>
      </c>
      <c r="M206" s="62">
        <f>IF(ISNA(VLOOKUP($A206,'Peter Moor 2000m'!$C$2:$C$30,1,FALSE)),0,VLOOKUP($A206,'Peter Moor 2000m'!$C$2:$I$30,7,FALSE))</f>
        <v>0</v>
      </c>
      <c r="N206" s="62">
        <f>IF(ISNA(VLOOKUP($A206,'Max Howard Tan handicap'!$C$2:$C$23,1,FALSE)),0,VLOOKUP($A206,'Max Howard Tan handicap'!$C$2:$I$23,7,FALSE))</f>
        <v>0</v>
      </c>
      <c r="O206" s="88">
        <f>IF(ISNA(VLOOKUP($A206,parkrun!$B$2:$H$145,1,FALSE)),0,VLOOKUP($A206,parkrun!$B$2:$H$145,7,FALSE))</f>
        <v>0</v>
      </c>
      <c r="P206" s="133">
        <f>SUM(F206:O206)</f>
        <v>0</v>
      </c>
      <c r="Q206" s="134">
        <f>COUNTIF(F206:O206,"&gt;0")</f>
        <v>0</v>
      </c>
      <c r="R206" s="215">
        <f>SMALL(F206:O206,1)+SMALL(F206:O206,2)</f>
        <v>0</v>
      </c>
      <c r="S206" s="215">
        <f>IF(Q206=1,P206,P206-R206)</f>
        <v>0</v>
      </c>
      <c r="T206" s="216">
        <f>RANK(P206,$P$5:$P$230,0)</f>
        <v>142</v>
      </c>
      <c r="U206" s="26">
        <f>RANK(S206,$S$5:$S$230,0)</f>
        <v>142</v>
      </c>
      <c r="W206" s="113"/>
    </row>
    <row r="207" spans="1:23" x14ac:dyDescent="0.2">
      <c r="A207" s="46" t="s">
        <v>71</v>
      </c>
      <c r="B207" s="81">
        <v>72</v>
      </c>
      <c r="C207" s="81" t="s">
        <v>233</v>
      </c>
      <c r="D207" s="146">
        <v>24148</v>
      </c>
      <c r="E207" s="81" t="s">
        <v>196</v>
      </c>
      <c r="F207" s="61">
        <f>IF(ISNA(VLOOKUP($A207,'2 Bridges Relay'!$F$2:$F$67,1,FALSE)),0,VLOOKUP($A207,'2 Bridges Relay'!$F$2:$J$67,5,FALSE))</f>
        <v>0</v>
      </c>
      <c r="G207" s="88">
        <f>IF(ISNA(VLOOKUP($A207,'5M''s'!$D$2:$E$27,1,FALSE)),0,VLOOKUP($A207,'5M''s'!$D$2:$E$27,2,FALSE))</f>
        <v>0</v>
      </c>
      <c r="H207" s="62">
        <f>IF(ISNA(VLOOKUP($A207,'Mile handicap'!$C$2:$C$51,1,FALSE)),0,VLOOKUP($A207,'Mile handicap'!$C$2:$K$51,9,FALSE))</f>
        <v>0</v>
      </c>
      <c r="I207" s="62">
        <f>IF(ISNA(VLOOKUP($A207,'5000m handicap'!$C$2:$C$46,1,FALSE)),0,VLOOKUP($A207,'5000m handicap'!$C$2:$K$46,9,FALSE))</f>
        <v>0</v>
      </c>
      <c r="J207" s="62">
        <f>IF(ISNA(VLOOKUP($A207,'KL handicap'!$C$2:$C$37,1,FALSE)),0,VLOOKUP($A207,'KL handicap'!$C$2:$I$37,7,FALSE))</f>
        <v>0</v>
      </c>
      <c r="K207" s="62">
        <f>IF(ISNA(VLOOKUP($A207,'3000m handicap'!$C$2:$C$47,1,FALSE)),0,VLOOKUP($A207,'3000m handicap'!$C$2:$K$47,9,FALSE))</f>
        <v>0</v>
      </c>
      <c r="L207" s="62">
        <f>IF(ISNA(VLOOKUP($A207,'10 km'!$B$2:$B$50,1,FALSE)),0,VLOOKUP($A207,'10 km'!$B$2:$D$50,3,FALSE))</f>
        <v>0</v>
      </c>
      <c r="M207" s="62">
        <f>IF(ISNA(VLOOKUP($A207,'Peter Moor 2000m'!$C$2:$C$30,1,FALSE)),0,VLOOKUP($A207,'Peter Moor 2000m'!$C$2:$I$30,7,FALSE))</f>
        <v>0</v>
      </c>
      <c r="N207" s="62">
        <f>IF(ISNA(VLOOKUP($A207,'Max Howard Tan handicap'!$C$2:$C$23,1,FALSE)),0,VLOOKUP($A207,'Max Howard Tan handicap'!$C$2:$I$23,7,FALSE))</f>
        <v>0</v>
      </c>
      <c r="O207" s="88">
        <f>IF(ISNA(VLOOKUP($A207,parkrun!$B$2:$H$145,1,FALSE)),0,VLOOKUP($A207,parkrun!$B$2:$H$145,7,FALSE))</f>
        <v>0</v>
      </c>
      <c r="P207" s="133">
        <f>SUM(F207:O207)</f>
        <v>0</v>
      </c>
      <c r="Q207" s="134">
        <f>COUNTIF(F207:O207,"&gt;0")</f>
        <v>0</v>
      </c>
      <c r="R207" s="215">
        <f>SMALL(F207:O207,1)+SMALL(F207:O207,2)</f>
        <v>0</v>
      </c>
      <c r="S207" s="215">
        <f>IF(Q207=1,P207,P207-R207)</f>
        <v>0</v>
      </c>
      <c r="T207" s="216">
        <f>RANK(P207,$P$5:$P$230,0)</f>
        <v>142</v>
      </c>
      <c r="U207" s="26">
        <f>RANK(S207,$S$5:$S$230,0)</f>
        <v>142</v>
      </c>
      <c r="W207" s="113"/>
    </row>
    <row r="208" spans="1:23" x14ac:dyDescent="0.2">
      <c r="A208" s="46" t="s">
        <v>360</v>
      </c>
      <c r="B208" s="81">
        <v>300</v>
      </c>
      <c r="C208" s="81" t="s">
        <v>233</v>
      </c>
      <c r="D208" s="146">
        <v>29418</v>
      </c>
      <c r="E208" s="81" t="s">
        <v>214</v>
      </c>
      <c r="F208" s="61">
        <f>IF(ISNA(VLOOKUP($A208,'2 Bridges Relay'!$F$2:$F$67,1,FALSE)),0,VLOOKUP($A208,'2 Bridges Relay'!$F$2:$J$67,5,FALSE))</f>
        <v>0</v>
      </c>
      <c r="G208" s="88">
        <f>IF(ISNA(VLOOKUP($A208,'5M''s'!$D$2:$E$27,1,FALSE)),0,VLOOKUP($A208,'5M''s'!$D$2:$E$27,2,FALSE))</f>
        <v>0</v>
      </c>
      <c r="H208" s="62">
        <f>IF(ISNA(VLOOKUP($A208,'Mile handicap'!$C$2:$C$51,1,FALSE)),0,VLOOKUP($A208,'Mile handicap'!$C$2:$K$51,9,FALSE))</f>
        <v>0</v>
      </c>
      <c r="I208" s="62">
        <f>IF(ISNA(VLOOKUP($A208,'5000m handicap'!$C$2:$C$46,1,FALSE)),0,VLOOKUP($A208,'5000m handicap'!$C$2:$K$46,9,FALSE))</f>
        <v>0</v>
      </c>
      <c r="J208" s="62">
        <f>IF(ISNA(VLOOKUP($A208,'KL handicap'!$C$2:$C$37,1,FALSE)),0,VLOOKUP($A208,'KL handicap'!$C$2:$I$37,7,FALSE))</f>
        <v>0</v>
      </c>
      <c r="K208" s="62">
        <f>IF(ISNA(VLOOKUP($A208,'3000m handicap'!$C$2:$C$47,1,FALSE)),0,VLOOKUP($A208,'3000m handicap'!$C$2:$K$47,9,FALSE))</f>
        <v>0</v>
      </c>
      <c r="L208" s="62">
        <f>IF(ISNA(VLOOKUP($A208,'10 km'!$B$2:$B$50,1,FALSE)),0,VLOOKUP($A208,'10 km'!$B$2:$D$50,3,FALSE))</f>
        <v>0</v>
      </c>
      <c r="M208" s="62">
        <f>IF(ISNA(VLOOKUP($A208,'Peter Moor 2000m'!$C$2:$C$30,1,FALSE)),0,VLOOKUP($A208,'Peter Moor 2000m'!$C$2:$I$30,7,FALSE))</f>
        <v>0</v>
      </c>
      <c r="N208" s="62">
        <f>IF(ISNA(VLOOKUP($A208,'Max Howard Tan handicap'!$C$2:$C$23,1,FALSE)),0,VLOOKUP($A208,'Max Howard Tan handicap'!$C$2:$I$23,7,FALSE))</f>
        <v>0</v>
      </c>
      <c r="O208" s="88">
        <f>IF(ISNA(VLOOKUP($A208,parkrun!$B$2:$H$145,1,FALSE)),0,VLOOKUP($A208,parkrun!$B$2:$H$145,7,FALSE))</f>
        <v>0</v>
      </c>
      <c r="P208" s="133">
        <f>SUM(F208:O208)</f>
        <v>0</v>
      </c>
      <c r="Q208" s="134">
        <f>COUNTIF(F208:O208,"&gt;0")</f>
        <v>0</v>
      </c>
      <c r="R208" s="215">
        <f>SMALL(F208:O208,1)+SMALL(F208:O208,2)</f>
        <v>0</v>
      </c>
      <c r="S208" s="215">
        <f>IF(Q208=1,P208,P208-R208)</f>
        <v>0</v>
      </c>
      <c r="T208" s="216">
        <f>RANK(P208,$P$5:$P$230,0)</f>
        <v>142</v>
      </c>
      <c r="U208" s="26">
        <f>RANK(S208,$S$5:$S$230,0)</f>
        <v>142</v>
      </c>
      <c r="W208" s="113"/>
    </row>
    <row r="209" spans="1:23" x14ac:dyDescent="0.2">
      <c r="A209" s="46" t="s">
        <v>162</v>
      </c>
      <c r="B209" s="81">
        <v>175</v>
      </c>
      <c r="C209" s="81" t="s">
        <v>233</v>
      </c>
      <c r="D209" s="146">
        <v>24152</v>
      </c>
      <c r="E209" s="81" t="s">
        <v>196</v>
      </c>
      <c r="F209" s="61">
        <f>IF(ISNA(VLOOKUP($A209,'2 Bridges Relay'!$F$2:$F$67,1,FALSE)),0,VLOOKUP($A209,'2 Bridges Relay'!$F$2:$J$67,5,FALSE))</f>
        <v>0</v>
      </c>
      <c r="G209" s="88">
        <f>IF(ISNA(VLOOKUP($A209,'5M''s'!$D$2:$E$27,1,FALSE)),0,VLOOKUP($A209,'5M''s'!$D$2:$E$27,2,FALSE))</f>
        <v>0</v>
      </c>
      <c r="H209" s="62">
        <f>IF(ISNA(VLOOKUP($A209,'Mile handicap'!$C$2:$C$51,1,FALSE)),0,VLOOKUP($A209,'Mile handicap'!$C$2:$K$51,9,FALSE))</f>
        <v>0</v>
      </c>
      <c r="I209" s="62">
        <f>IF(ISNA(VLOOKUP($A209,'5000m handicap'!$C$2:$C$46,1,FALSE)),0,VLOOKUP($A209,'5000m handicap'!$C$2:$K$46,9,FALSE))</f>
        <v>0</v>
      </c>
      <c r="J209" s="62">
        <f>IF(ISNA(VLOOKUP($A209,'KL handicap'!$C$2:$C$37,1,FALSE)),0,VLOOKUP($A209,'KL handicap'!$C$2:$I$37,7,FALSE))</f>
        <v>0</v>
      </c>
      <c r="K209" s="62">
        <f>IF(ISNA(VLOOKUP($A209,'3000m handicap'!$C$2:$C$47,1,FALSE)),0,VLOOKUP($A209,'3000m handicap'!$C$2:$K$47,9,FALSE))</f>
        <v>0</v>
      </c>
      <c r="L209" s="62">
        <f>IF(ISNA(VLOOKUP($A209,'10 km'!$B$2:$B$50,1,FALSE)),0,VLOOKUP($A209,'10 km'!$B$2:$D$50,3,FALSE))</f>
        <v>0</v>
      </c>
      <c r="M209" s="62">
        <f>IF(ISNA(VLOOKUP($A209,'Peter Moor 2000m'!$C$2:$C$30,1,FALSE)),0,VLOOKUP($A209,'Peter Moor 2000m'!$C$2:$I$30,7,FALSE))</f>
        <v>0</v>
      </c>
      <c r="N209" s="62">
        <f>IF(ISNA(VLOOKUP($A209,'Max Howard Tan handicap'!$C$2:$C$23,1,FALSE)),0,VLOOKUP($A209,'Max Howard Tan handicap'!$C$2:$I$23,7,FALSE))</f>
        <v>0</v>
      </c>
      <c r="O209" s="88">
        <f>IF(ISNA(VLOOKUP($A209,parkrun!$B$2:$H$145,1,FALSE)),0,VLOOKUP($A209,parkrun!$B$2:$H$145,7,FALSE))</f>
        <v>0</v>
      </c>
      <c r="P209" s="133">
        <f>SUM(F209:O209)</f>
        <v>0</v>
      </c>
      <c r="Q209" s="134">
        <f>COUNTIF(F209:O209,"&gt;0")</f>
        <v>0</v>
      </c>
      <c r="R209" s="215">
        <f>SMALL(F209:O209,1)+SMALL(F209:O209,2)</f>
        <v>0</v>
      </c>
      <c r="S209" s="215">
        <f>IF(Q209=1,P209,P209-R209)</f>
        <v>0</v>
      </c>
      <c r="T209" s="216">
        <f>RANK(P209,$P$5:$P$230,0)</f>
        <v>142</v>
      </c>
      <c r="U209" s="26">
        <f>RANK(S209,$S$5:$S$230,0)</f>
        <v>142</v>
      </c>
      <c r="W209" s="113"/>
    </row>
    <row r="210" spans="1:23" x14ac:dyDescent="0.2">
      <c r="A210" s="46" t="s">
        <v>223</v>
      </c>
      <c r="B210" s="81">
        <v>51</v>
      </c>
      <c r="C210" s="81" t="s">
        <v>233</v>
      </c>
      <c r="D210" s="146">
        <v>27008</v>
      </c>
      <c r="E210" s="81" t="s">
        <v>214</v>
      </c>
      <c r="F210" s="61">
        <f>IF(ISNA(VLOOKUP($A210,'2 Bridges Relay'!$F$2:$F$67,1,FALSE)),0,VLOOKUP($A210,'2 Bridges Relay'!$F$2:$J$67,5,FALSE))</f>
        <v>0</v>
      </c>
      <c r="G210" s="88">
        <f>IF(ISNA(VLOOKUP($A210,'5M''s'!$D$2:$E$27,1,FALSE)),0,VLOOKUP($A210,'5M''s'!$D$2:$E$27,2,FALSE))</f>
        <v>0</v>
      </c>
      <c r="H210" s="62">
        <f>IF(ISNA(VLOOKUP($A210,'Mile handicap'!$C$2:$C$51,1,FALSE)),0,VLOOKUP($A210,'Mile handicap'!$C$2:$K$51,9,FALSE))</f>
        <v>0</v>
      </c>
      <c r="I210" s="62">
        <f>IF(ISNA(VLOOKUP($A210,'5000m handicap'!$C$2:$C$46,1,FALSE)),0,VLOOKUP($A210,'5000m handicap'!$C$2:$K$46,9,FALSE))</f>
        <v>0</v>
      </c>
      <c r="J210" s="62">
        <f>IF(ISNA(VLOOKUP($A210,'KL handicap'!$C$2:$C$37,1,FALSE)),0,VLOOKUP($A210,'KL handicap'!$C$2:$I$37,7,FALSE))</f>
        <v>0</v>
      </c>
      <c r="K210" s="62">
        <f>IF(ISNA(VLOOKUP($A210,'3000m handicap'!$C$2:$C$47,1,FALSE)),0,VLOOKUP($A210,'3000m handicap'!$C$2:$K$47,9,FALSE))</f>
        <v>0</v>
      </c>
      <c r="L210" s="62">
        <f>IF(ISNA(VLOOKUP($A210,'10 km'!$B$2:$B$50,1,FALSE)),0,VLOOKUP($A210,'10 km'!$B$2:$D$50,3,FALSE))</f>
        <v>0</v>
      </c>
      <c r="M210" s="62">
        <f>IF(ISNA(VLOOKUP($A210,'Peter Moor 2000m'!$C$2:$C$30,1,FALSE)),0,VLOOKUP($A210,'Peter Moor 2000m'!$C$2:$I$30,7,FALSE))</f>
        <v>0</v>
      </c>
      <c r="N210" s="62">
        <f>IF(ISNA(VLOOKUP($A210,'Max Howard Tan handicap'!$C$2:$C$23,1,FALSE)),0,VLOOKUP($A210,'Max Howard Tan handicap'!$C$2:$I$23,7,FALSE))</f>
        <v>0</v>
      </c>
      <c r="O210" s="88">
        <f>IF(ISNA(VLOOKUP($A210,parkrun!$B$2:$H$145,1,FALSE)),0,VLOOKUP($A210,parkrun!$B$2:$H$145,7,FALSE))</f>
        <v>0</v>
      </c>
      <c r="P210" s="133">
        <f>SUM(F210:O210)</f>
        <v>0</v>
      </c>
      <c r="Q210" s="134">
        <f>COUNTIF(F210:O210,"&gt;0")</f>
        <v>0</v>
      </c>
      <c r="R210" s="215">
        <f>SMALL(F210:O210,1)+SMALL(F210:O210,2)</f>
        <v>0</v>
      </c>
      <c r="S210" s="215">
        <f>IF(Q210=1,P210,P210-R210)</f>
        <v>0</v>
      </c>
      <c r="T210" s="216">
        <f>RANK(P210,$P$5:$P$230,0)</f>
        <v>142</v>
      </c>
      <c r="U210" s="26">
        <f>RANK(S210,$S$5:$S$230,0)</f>
        <v>142</v>
      </c>
      <c r="W210" s="113"/>
    </row>
    <row r="211" spans="1:23" x14ac:dyDescent="0.2">
      <c r="A211" s="46" t="s">
        <v>269</v>
      </c>
      <c r="B211" s="81">
        <v>244</v>
      </c>
      <c r="C211" s="81" t="s">
        <v>233</v>
      </c>
      <c r="D211" s="146">
        <v>28684</v>
      </c>
      <c r="E211" s="81" t="s">
        <v>214</v>
      </c>
      <c r="F211" s="61">
        <f>IF(ISNA(VLOOKUP($A211,'2 Bridges Relay'!$F$2:$F$67,1,FALSE)),0,VLOOKUP($A211,'2 Bridges Relay'!$F$2:$J$67,5,FALSE))</f>
        <v>0</v>
      </c>
      <c r="G211" s="88">
        <f>IF(ISNA(VLOOKUP($A211,'5M''s'!$D$2:$E$27,1,FALSE)),0,VLOOKUP($A211,'5M''s'!$D$2:$E$27,2,FALSE))</f>
        <v>0</v>
      </c>
      <c r="H211" s="62">
        <f>IF(ISNA(VLOOKUP($A211,'Mile handicap'!$C$2:$C$51,1,FALSE)),0,VLOOKUP($A211,'Mile handicap'!$C$2:$K$51,9,FALSE))</f>
        <v>0</v>
      </c>
      <c r="I211" s="62">
        <f>IF(ISNA(VLOOKUP($A211,'5000m handicap'!$C$2:$C$46,1,FALSE)),0,VLOOKUP($A211,'5000m handicap'!$C$2:$K$46,9,FALSE))</f>
        <v>0</v>
      </c>
      <c r="J211" s="62">
        <f>IF(ISNA(VLOOKUP($A211,'KL handicap'!$C$2:$C$37,1,FALSE)),0,VLOOKUP($A211,'KL handicap'!$C$2:$I$37,7,FALSE))</f>
        <v>0</v>
      </c>
      <c r="K211" s="62">
        <f>IF(ISNA(VLOOKUP($A211,'3000m handicap'!$C$2:$C$47,1,FALSE)),0,VLOOKUP($A211,'3000m handicap'!$C$2:$K$47,9,FALSE))</f>
        <v>0</v>
      </c>
      <c r="L211" s="62">
        <f>IF(ISNA(VLOOKUP($A211,'10 km'!$B$2:$B$50,1,FALSE)),0,VLOOKUP($A211,'10 km'!$B$2:$D$50,3,FALSE))</f>
        <v>0</v>
      </c>
      <c r="M211" s="62">
        <f>IF(ISNA(VLOOKUP($A211,'Peter Moor 2000m'!$C$2:$C$30,1,FALSE)),0,VLOOKUP($A211,'Peter Moor 2000m'!$C$2:$I$30,7,FALSE))</f>
        <v>0</v>
      </c>
      <c r="N211" s="62">
        <f>IF(ISNA(VLOOKUP($A211,'Max Howard Tan handicap'!$C$2:$C$23,1,FALSE)),0,VLOOKUP($A211,'Max Howard Tan handicap'!$C$2:$I$23,7,FALSE))</f>
        <v>0</v>
      </c>
      <c r="O211" s="88">
        <f>IF(ISNA(VLOOKUP($A211,parkrun!$B$2:$H$145,1,FALSE)),0,VLOOKUP($A211,parkrun!$B$2:$H$145,7,FALSE))</f>
        <v>0</v>
      </c>
      <c r="P211" s="133">
        <f>SUM(F211:O211)</f>
        <v>0</v>
      </c>
      <c r="Q211" s="134">
        <f>COUNTIF(F211:O211,"&gt;0")</f>
        <v>0</v>
      </c>
      <c r="R211" s="215">
        <f>SMALL(F211:O211,1)+SMALL(F211:O211,2)</f>
        <v>0</v>
      </c>
      <c r="S211" s="215">
        <f>IF(Q211=1,P211,P211-R211)</f>
        <v>0</v>
      </c>
      <c r="T211" s="216">
        <f>RANK(P211,$P$5:$P$230,0)</f>
        <v>142</v>
      </c>
      <c r="U211" s="26">
        <f>RANK(S211,$S$5:$S$230,0)</f>
        <v>142</v>
      </c>
      <c r="W211" s="113"/>
    </row>
    <row r="212" spans="1:23" x14ac:dyDescent="0.2">
      <c r="A212" s="46" t="s">
        <v>285</v>
      </c>
      <c r="B212" s="81">
        <v>255</v>
      </c>
      <c r="C212" s="81" t="s">
        <v>233</v>
      </c>
      <c r="D212" s="146">
        <v>27790</v>
      </c>
      <c r="E212" s="81" t="s">
        <v>214</v>
      </c>
      <c r="F212" s="61">
        <f>IF(ISNA(VLOOKUP($A212,'2 Bridges Relay'!$F$2:$F$67,1,FALSE)),0,VLOOKUP($A212,'2 Bridges Relay'!$F$2:$J$67,5,FALSE))</f>
        <v>0</v>
      </c>
      <c r="G212" s="88">
        <f>IF(ISNA(VLOOKUP($A212,'5M''s'!$D$2:$E$27,1,FALSE)),0,VLOOKUP($A212,'5M''s'!$D$2:$E$27,2,FALSE))</f>
        <v>0</v>
      </c>
      <c r="H212" s="62">
        <f>IF(ISNA(VLOOKUP($A212,'Mile handicap'!$C$2:$C$51,1,FALSE)),0,VLOOKUP($A212,'Mile handicap'!$C$2:$K$51,9,FALSE))</f>
        <v>0</v>
      </c>
      <c r="I212" s="88">
        <f>IF(ISNA(VLOOKUP($A212,'5000m handicap'!$C$2:$C$46,1,FALSE)),0,VLOOKUP($A212,'5000m handicap'!$C$2:$K$46,9,FALSE))</f>
        <v>0</v>
      </c>
      <c r="J212" s="62">
        <f>IF(ISNA(VLOOKUP($A212,'KL handicap'!$C$2:$C$37,1,FALSE)),0,VLOOKUP($A212,'KL handicap'!$C$2:$I$37,7,FALSE))</f>
        <v>0</v>
      </c>
      <c r="K212" s="62">
        <f>IF(ISNA(VLOOKUP($A212,'3000m handicap'!$C$2:$C$47,1,FALSE)),0,VLOOKUP($A212,'3000m handicap'!$C$2:$K$47,9,FALSE))</f>
        <v>0</v>
      </c>
      <c r="L212" s="62">
        <f>IF(ISNA(VLOOKUP($A212,'10 km'!$B$2:$B$50,1,FALSE)),0,VLOOKUP($A212,'10 km'!$B$2:$D$50,3,FALSE))</f>
        <v>0</v>
      </c>
      <c r="M212" s="62">
        <f>IF(ISNA(VLOOKUP($A212,'Peter Moor 2000m'!$C$2:$C$30,1,FALSE)),0,VLOOKUP($A212,'Peter Moor 2000m'!$C$2:$I$30,7,FALSE))</f>
        <v>0</v>
      </c>
      <c r="N212" s="62">
        <f>IF(ISNA(VLOOKUP($A212,'Max Howard Tan handicap'!$C$2:$C$23,1,FALSE)),0,VLOOKUP($A212,'Max Howard Tan handicap'!$C$2:$I$23,7,FALSE))</f>
        <v>0</v>
      </c>
      <c r="O212" s="88">
        <f>IF(ISNA(VLOOKUP($A212,parkrun!$B$2:$H$145,1,FALSE)),0,VLOOKUP($A212,parkrun!$B$2:$H$145,7,FALSE))</f>
        <v>0</v>
      </c>
      <c r="P212" s="133">
        <f>SUM(F212:O212)</f>
        <v>0</v>
      </c>
      <c r="Q212" s="134">
        <f>COUNTIF(F212:O212,"&gt;0")</f>
        <v>0</v>
      </c>
      <c r="R212" s="215">
        <f>SMALL(F212:O212,1)+SMALL(F212:O212,2)</f>
        <v>0</v>
      </c>
      <c r="S212" s="215">
        <f>IF(Q212=1,P212,P212-R212)</f>
        <v>0</v>
      </c>
      <c r="T212" s="216">
        <f>RANK(P212,$P$5:$P$230,0)</f>
        <v>142</v>
      </c>
      <c r="U212" s="26">
        <f>RANK(S212,$S$5:$S$230,0)</f>
        <v>142</v>
      </c>
      <c r="W212" s="113"/>
    </row>
    <row r="213" spans="1:23" x14ac:dyDescent="0.2">
      <c r="A213" s="46" t="s">
        <v>207</v>
      </c>
      <c r="B213" s="81">
        <v>220</v>
      </c>
      <c r="C213" s="81" t="s">
        <v>233</v>
      </c>
      <c r="D213" s="146">
        <v>31560</v>
      </c>
      <c r="E213" s="81" t="s">
        <v>214</v>
      </c>
      <c r="F213" s="61">
        <f>IF(ISNA(VLOOKUP($A213,'2 Bridges Relay'!$F$2:$F$67,1,FALSE)),0,VLOOKUP($A213,'2 Bridges Relay'!$F$2:$J$67,5,FALSE))</f>
        <v>0</v>
      </c>
      <c r="G213" s="88">
        <f>IF(ISNA(VLOOKUP($A213,'5M''s'!$D$2:$E$27,1,FALSE)),0,VLOOKUP($A213,'5M''s'!$D$2:$E$27,2,FALSE))</f>
        <v>0</v>
      </c>
      <c r="H213" s="62">
        <f>IF(ISNA(VLOOKUP($A213,'Mile handicap'!$C$2:$C$51,1,FALSE)),0,VLOOKUP($A213,'Mile handicap'!$C$2:$K$51,9,FALSE))</f>
        <v>0</v>
      </c>
      <c r="I213" s="62">
        <f>IF(ISNA(VLOOKUP($A213,'5000m handicap'!$C$2:$C$46,1,FALSE)),0,VLOOKUP($A213,'5000m handicap'!$C$2:$K$46,9,FALSE))</f>
        <v>0</v>
      </c>
      <c r="J213" s="62">
        <f>IF(ISNA(VLOOKUP($A213,'KL handicap'!$C$2:$C$37,1,FALSE)),0,VLOOKUP($A213,'KL handicap'!$C$2:$I$37,7,FALSE))</f>
        <v>0</v>
      </c>
      <c r="K213" s="62">
        <f>IF(ISNA(VLOOKUP($A213,'3000m handicap'!$C$2:$C$47,1,FALSE)),0,VLOOKUP($A213,'3000m handicap'!$C$2:$K$47,9,FALSE))</f>
        <v>0</v>
      </c>
      <c r="L213" s="62">
        <f>IF(ISNA(VLOOKUP($A213,'10 km'!$B$2:$B$50,1,FALSE)),0,VLOOKUP($A213,'10 km'!$B$2:$D$50,3,FALSE))</f>
        <v>0</v>
      </c>
      <c r="M213" s="62">
        <f>IF(ISNA(VLOOKUP($A213,'Peter Moor 2000m'!$C$2:$C$30,1,FALSE)),0,VLOOKUP($A213,'Peter Moor 2000m'!$C$2:$I$30,7,FALSE))</f>
        <v>0</v>
      </c>
      <c r="N213" s="62">
        <f>IF(ISNA(VLOOKUP($A213,'Max Howard Tan handicap'!$C$2:$C$23,1,FALSE)),0,VLOOKUP($A213,'Max Howard Tan handicap'!$C$2:$I$23,7,FALSE))</f>
        <v>0</v>
      </c>
      <c r="O213" s="88">
        <f>IF(ISNA(VLOOKUP($A213,parkrun!$B$2:$H$145,1,FALSE)),0,VLOOKUP($A213,parkrun!$B$2:$H$145,7,FALSE))</f>
        <v>0</v>
      </c>
      <c r="P213" s="133">
        <f>SUM(F213:O213)</f>
        <v>0</v>
      </c>
      <c r="Q213" s="134">
        <f>COUNTIF(F213:O213,"&gt;0")</f>
        <v>0</v>
      </c>
      <c r="R213" s="215">
        <f>SMALL(F213:O213,1)+SMALL(F213:O213,2)</f>
        <v>0</v>
      </c>
      <c r="S213" s="215">
        <f>IF(Q213=1,P213,P213-R213)</f>
        <v>0</v>
      </c>
      <c r="T213" s="216">
        <f>RANK(P213,$P$5:$P$230,0)</f>
        <v>142</v>
      </c>
      <c r="U213" s="26">
        <f>RANK(S213,$S$5:$S$230,0)</f>
        <v>142</v>
      </c>
      <c r="W213" s="113"/>
    </row>
    <row r="214" spans="1:23" x14ac:dyDescent="0.2">
      <c r="A214" s="46" t="s">
        <v>399</v>
      </c>
      <c r="B214" s="81">
        <v>46</v>
      </c>
      <c r="C214" s="81" t="s">
        <v>233</v>
      </c>
      <c r="D214" s="146">
        <v>25914</v>
      </c>
      <c r="E214" s="81" t="s">
        <v>214</v>
      </c>
      <c r="F214" s="61">
        <f>IF(ISNA(VLOOKUP($A214,'2 Bridges Relay'!$F$2:$F$67,1,FALSE)),0,VLOOKUP($A214,'2 Bridges Relay'!$F$2:$J$67,5,FALSE))</f>
        <v>0</v>
      </c>
      <c r="G214" s="88">
        <f>IF(ISNA(VLOOKUP($A214,'5M''s'!$D$2:$E$27,1,FALSE)),0,VLOOKUP($A214,'5M''s'!$D$2:$E$27,2,FALSE))</f>
        <v>0</v>
      </c>
      <c r="H214" s="62">
        <f>IF(ISNA(VLOOKUP($A214,'Mile handicap'!$C$2:$C$51,1,FALSE)),0,VLOOKUP($A214,'Mile handicap'!$C$2:$K$51,9,FALSE))</f>
        <v>0</v>
      </c>
      <c r="I214" s="62">
        <f>IF(ISNA(VLOOKUP($A214,'5000m handicap'!$C$2:$C$46,1,FALSE)),0,VLOOKUP($A214,'5000m handicap'!$C$2:$K$46,9,FALSE))</f>
        <v>0</v>
      </c>
      <c r="J214" s="62">
        <f>IF(ISNA(VLOOKUP($A214,'KL handicap'!$C$2:$C$37,1,FALSE)),0,VLOOKUP($A214,'KL handicap'!$C$2:$I$37,7,FALSE))</f>
        <v>0</v>
      </c>
      <c r="K214" s="62">
        <f>IF(ISNA(VLOOKUP($A214,'3000m handicap'!$C$2:$C$47,1,FALSE)),0,VLOOKUP($A214,'3000m handicap'!$C$2:$K$47,9,FALSE))</f>
        <v>0</v>
      </c>
      <c r="L214" s="62">
        <f>IF(ISNA(VLOOKUP($A214,'10 km'!$B$2:$B$50,1,FALSE)),0,VLOOKUP($A214,'10 km'!$B$2:$D$50,3,FALSE))</f>
        <v>0</v>
      </c>
      <c r="M214" s="62">
        <f>IF(ISNA(VLOOKUP($A214,'Peter Moor 2000m'!$C$2:$C$30,1,FALSE)),0,VLOOKUP($A214,'Peter Moor 2000m'!$C$2:$I$30,7,FALSE))</f>
        <v>0</v>
      </c>
      <c r="N214" s="62">
        <f>IF(ISNA(VLOOKUP($A214,'Max Howard Tan handicap'!$C$2:$C$23,1,FALSE)),0,VLOOKUP($A214,'Max Howard Tan handicap'!$C$2:$I$23,7,FALSE))</f>
        <v>0</v>
      </c>
      <c r="O214" s="88">
        <f>IF(ISNA(VLOOKUP($A214,parkrun!$B$2:$H$145,1,FALSE)),0,VLOOKUP($A214,parkrun!$B$2:$H$145,7,FALSE))</f>
        <v>0</v>
      </c>
      <c r="P214" s="133">
        <f>SUM(F214:O214)</f>
        <v>0</v>
      </c>
      <c r="Q214" s="134">
        <f>COUNTIF(F214:O214,"&gt;0")</f>
        <v>0</v>
      </c>
      <c r="R214" s="215">
        <f>SMALL(F214:O214,1)+SMALL(F214:O214,2)</f>
        <v>0</v>
      </c>
      <c r="S214" s="215">
        <f>IF(Q214=1,P214,P214-R214)</f>
        <v>0</v>
      </c>
      <c r="T214" s="216">
        <f>RANK(P214,$P$5:$P$230,0)</f>
        <v>142</v>
      </c>
      <c r="U214" s="26">
        <f>RANK(S214,$S$5:$S$230,0)</f>
        <v>142</v>
      </c>
      <c r="W214" s="113"/>
    </row>
    <row r="215" spans="1:23" x14ac:dyDescent="0.2">
      <c r="A215" s="46" t="s">
        <v>277</v>
      </c>
      <c r="B215" s="81">
        <v>250</v>
      </c>
      <c r="C215" s="81" t="s">
        <v>233</v>
      </c>
      <c r="D215" s="146">
        <v>29089</v>
      </c>
      <c r="E215" s="81" t="s">
        <v>214</v>
      </c>
      <c r="F215" s="61">
        <f>IF(ISNA(VLOOKUP($A215,'2 Bridges Relay'!$F$2:$F$67,1,FALSE)),0,VLOOKUP($A215,'2 Bridges Relay'!$F$2:$J$67,5,FALSE))</f>
        <v>0</v>
      </c>
      <c r="G215" s="88">
        <f>IF(ISNA(VLOOKUP($A215,'5M''s'!$D$2:$E$27,1,FALSE)),0,VLOOKUP($A215,'5M''s'!$D$2:$E$27,2,FALSE))</f>
        <v>0</v>
      </c>
      <c r="H215" s="62">
        <f>IF(ISNA(VLOOKUP($A215,'Mile handicap'!$C$2:$C$51,1,FALSE)),0,VLOOKUP($A215,'Mile handicap'!$C$2:$K$51,9,FALSE))</f>
        <v>0</v>
      </c>
      <c r="I215" s="62">
        <f>IF(ISNA(VLOOKUP($A215,'5000m handicap'!$C$2:$C$46,1,FALSE)),0,VLOOKUP($A215,'5000m handicap'!$C$2:$K$46,9,FALSE))</f>
        <v>0</v>
      </c>
      <c r="J215" s="62">
        <f>IF(ISNA(VLOOKUP($A215,'KL handicap'!$C$2:$C$37,1,FALSE)),0,VLOOKUP($A215,'KL handicap'!$C$2:$I$37,7,FALSE))</f>
        <v>0</v>
      </c>
      <c r="K215" s="62">
        <f>IF(ISNA(VLOOKUP($A215,'3000m handicap'!$C$2:$C$47,1,FALSE)),0,VLOOKUP($A215,'3000m handicap'!$C$2:$K$47,9,FALSE))</f>
        <v>0</v>
      </c>
      <c r="L215" s="62">
        <f>IF(ISNA(VLOOKUP($A215,'10 km'!$B$2:$B$50,1,FALSE)),0,VLOOKUP($A215,'10 km'!$B$2:$D$50,3,FALSE))</f>
        <v>0</v>
      </c>
      <c r="M215" s="62">
        <f>IF(ISNA(VLOOKUP($A215,'Peter Moor 2000m'!$C$2:$C$30,1,FALSE)),0,VLOOKUP($A215,'Peter Moor 2000m'!$C$2:$I$30,7,FALSE))</f>
        <v>0</v>
      </c>
      <c r="N215" s="62">
        <f>IF(ISNA(VLOOKUP($A215,'Max Howard Tan handicap'!$C$2:$C$23,1,FALSE)),0,VLOOKUP($A215,'Max Howard Tan handicap'!$C$2:$I$23,7,FALSE))</f>
        <v>0</v>
      </c>
      <c r="O215" s="88">
        <f>IF(ISNA(VLOOKUP($A215,parkrun!$B$2:$H$145,1,FALSE)),0,VLOOKUP($A215,parkrun!$B$2:$H$145,7,FALSE))</f>
        <v>0</v>
      </c>
      <c r="P215" s="133">
        <f>SUM(F215:O215)</f>
        <v>0</v>
      </c>
      <c r="Q215" s="134">
        <f>COUNTIF(F215:O215,"&gt;0")</f>
        <v>0</v>
      </c>
      <c r="R215" s="215">
        <f>SMALL(F215:O215,1)+SMALL(F215:O215,2)</f>
        <v>0</v>
      </c>
      <c r="S215" s="215">
        <f>IF(Q215=1,P215,P215-R215)</f>
        <v>0</v>
      </c>
      <c r="T215" s="216">
        <f>RANK(P215,$P$5:$P$230,0)</f>
        <v>142</v>
      </c>
      <c r="U215" s="26">
        <f>RANK(S215,$S$5:$S$230,0)</f>
        <v>142</v>
      </c>
      <c r="W215" s="113"/>
    </row>
    <row r="216" spans="1:23" x14ac:dyDescent="0.2">
      <c r="A216" s="46" t="s">
        <v>437</v>
      </c>
      <c r="B216" s="81">
        <v>318</v>
      </c>
      <c r="C216" s="81" t="s">
        <v>233</v>
      </c>
      <c r="D216" s="146">
        <v>29825</v>
      </c>
      <c r="E216" s="81" t="s">
        <v>214</v>
      </c>
      <c r="F216" s="61">
        <f>IF(ISNA(VLOOKUP($A216,'2 Bridges Relay'!$F$2:$F$67,1,FALSE)),0,VLOOKUP($A216,'2 Bridges Relay'!$F$2:$J$67,5,FALSE))</f>
        <v>0</v>
      </c>
      <c r="G216" s="88">
        <f>IF(ISNA(VLOOKUP($A216,'5M''s'!$D$2:$E$27,1,FALSE)),0,VLOOKUP($A216,'5M''s'!$D$2:$E$27,2,FALSE))</f>
        <v>0</v>
      </c>
      <c r="H216" s="62">
        <f>IF(ISNA(VLOOKUP($A216,'Mile handicap'!$C$2:$C$51,1,FALSE)),0,VLOOKUP($A216,'Mile handicap'!$C$2:$K$51,9,FALSE))</f>
        <v>0</v>
      </c>
      <c r="I216" s="62">
        <f>IF(ISNA(VLOOKUP($A216,'5000m handicap'!$C$2:$C$46,1,FALSE)),0,VLOOKUP($A216,'5000m handicap'!$C$2:$K$46,9,FALSE))</f>
        <v>0</v>
      </c>
      <c r="J216" s="62">
        <f>IF(ISNA(VLOOKUP($A216,'KL handicap'!$C$2:$C$37,1,FALSE)),0,VLOOKUP($A216,'KL handicap'!$C$2:$I$37,7,FALSE))</f>
        <v>0</v>
      </c>
      <c r="K216" s="62">
        <f>IF(ISNA(VLOOKUP($A216,'3000m handicap'!$C$2:$C$47,1,FALSE)),0,VLOOKUP($A216,'3000m handicap'!$C$2:$K$47,9,FALSE))</f>
        <v>0</v>
      </c>
      <c r="L216" s="62">
        <f>IF(ISNA(VLOOKUP($A216,'10 km'!$B$2:$B$50,1,FALSE)),0,VLOOKUP($A216,'10 km'!$B$2:$D$50,3,FALSE))</f>
        <v>0</v>
      </c>
      <c r="M216" s="62">
        <f>IF(ISNA(VLOOKUP($A216,'Peter Moor 2000m'!$C$2:$C$30,1,FALSE)),0,VLOOKUP($A216,'Peter Moor 2000m'!$C$2:$I$30,7,FALSE))</f>
        <v>0</v>
      </c>
      <c r="N216" s="62">
        <f>IF(ISNA(VLOOKUP($A216,'Max Howard Tan handicap'!$C$2:$C$23,1,FALSE)),0,VLOOKUP($A216,'Max Howard Tan handicap'!$C$2:$I$23,7,FALSE))</f>
        <v>0</v>
      </c>
      <c r="O216" s="88">
        <f>IF(ISNA(VLOOKUP($A216,parkrun!$B$2:$H$145,1,FALSE)),0,VLOOKUP($A216,parkrun!$B$2:$H$145,7,FALSE))</f>
        <v>0</v>
      </c>
      <c r="P216" s="133">
        <f>SUM(F216:O216)</f>
        <v>0</v>
      </c>
      <c r="Q216" s="134">
        <f>COUNTIF(F216:O216,"&gt;0")</f>
        <v>0</v>
      </c>
      <c r="R216" s="215">
        <f>SMALL(F216:O216,1)+SMALL(F216:O216,2)</f>
        <v>0</v>
      </c>
      <c r="S216" s="215">
        <f>IF(Q216=1,P216,P216-R216)</f>
        <v>0</v>
      </c>
      <c r="T216" s="216">
        <f>RANK(P216,$P$5:$P$230,0)</f>
        <v>142</v>
      </c>
      <c r="U216" s="26">
        <f>RANK(S216,$S$5:$S$230,0)</f>
        <v>142</v>
      </c>
      <c r="W216" s="113"/>
    </row>
    <row r="217" spans="1:23" x14ac:dyDescent="0.2">
      <c r="A217" s="46" t="s">
        <v>209</v>
      </c>
      <c r="B217" s="81">
        <v>225</v>
      </c>
      <c r="C217" s="81" t="s">
        <v>233</v>
      </c>
      <c r="D217" s="146">
        <v>27222</v>
      </c>
      <c r="E217" s="81" t="s">
        <v>214</v>
      </c>
      <c r="F217" s="61">
        <f>IF(ISNA(VLOOKUP($A217,'2 Bridges Relay'!$F$2:$F$67,1,FALSE)),0,VLOOKUP($A217,'2 Bridges Relay'!$F$2:$J$67,5,FALSE))</f>
        <v>0</v>
      </c>
      <c r="G217" s="88">
        <f>IF(ISNA(VLOOKUP($A217,'5M''s'!$D$2:$E$27,1,FALSE)),0,VLOOKUP($A217,'5M''s'!$D$2:$E$27,2,FALSE))</f>
        <v>0</v>
      </c>
      <c r="H217" s="62">
        <f>IF(ISNA(VLOOKUP($A217,'Mile handicap'!$C$2:$C$51,1,FALSE)),0,VLOOKUP($A217,'Mile handicap'!$C$2:$K$51,9,FALSE))</f>
        <v>0</v>
      </c>
      <c r="I217" s="62">
        <f>IF(ISNA(VLOOKUP($A217,'5000m handicap'!$C$2:$C$46,1,FALSE)),0,VLOOKUP($A217,'5000m handicap'!$C$2:$K$46,9,FALSE))</f>
        <v>0</v>
      </c>
      <c r="J217" s="62">
        <f>IF(ISNA(VLOOKUP($A217,'KL handicap'!$C$2:$C$37,1,FALSE)),0,VLOOKUP($A217,'KL handicap'!$C$2:$I$37,7,FALSE))</f>
        <v>0</v>
      </c>
      <c r="K217" s="62">
        <f>IF(ISNA(VLOOKUP($A217,'3000m handicap'!$C$2:$C$47,1,FALSE)),0,VLOOKUP($A217,'3000m handicap'!$C$2:$K$47,9,FALSE))</f>
        <v>0</v>
      </c>
      <c r="L217" s="62">
        <f>IF(ISNA(VLOOKUP($A217,'10 km'!$B$2:$B$50,1,FALSE)),0,VLOOKUP($A217,'10 km'!$B$2:$D$50,3,FALSE))</f>
        <v>0</v>
      </c>
      <c r="M217" s="62">
        <f>IF(ISNA(VLOOKUP($A217,'Peter Moor 2000m'!$C$2:$C$30,1,FALSE)),0,VLOOKUP($A217,'Peter Moor 2000m'!$C$2:$I$30,7,FALSE))</f>
        <v>0</v>
      </c>
      <c r="N217" s="62">
        <f>IF(ISNA(VLOOKUP($A217,'Max Howard Tan handicap'!$C$2:$C$23,1,FALSE)),0,VLOOKUP($A217,'Max Howard Tan handicap'!$C$2:$I$23,7,FALSE))</f>
        <v>0</v>
      </c>
      <c r="O217" s="88">
        <f>IF(ISNA(VLOOKUP($A217,parkrun!$B$2:$H$145,1,FALSE)),0,VLOOKUP($A217,parkrun!$B$2:$H$145,7,FALSE))</f>
        <v>0</v>
      </c>
      <c r="P217" s="133">
        <f>SUM(F217:O217)</f>
        <v>0</v>
      </c>
      <c r="Q217" s="134">
        <f>COUNTIF(F217:O217,"&gt;0")</f>
        <v>0</v>
      </c>
      <c r="R217" s="215">
        <f>SMALL(F217:O217,1)+SMALL(F217:O217,2)</f>
        <v>0</v>
      </c>
      <c r="S217" s="215">
        <f>IF(Q217=1,P217,P217-R217)</f>
        <v>0</v>
      </c>
      <c r="T217" s="216">
        <f>RANK(P217,$P$5:$P$230,0)</f>
        <v>142</v>
      </c>
      <c r="U217" s="26">
        <f>RANK(S217,$S$5:$S$230,0)</f>
        <v>142</v>
      </c>
      <c r="W217" s="113"/>
    </row>
    <row r="218" spans="1:23" x14ac:dyDescent="0.2">
      <c r="A218" s="46" t="s">
        <v>130</v>
      </c>
      <c r="B218" s="81">
        <v>156</v>
      </c>
      <c r="C218" s="81" t="s">
        <v>233</v>
      </c>
      <c r="D218" s="146">
        <v>27614</v>
      </c>
      <c r="E218" s="81" t="s">
        <v>214</v>
      </c>
      <c r="F218" s="61">
        <f>IF(ISNA(VLOOKUP($A218,'2 Bridges Relay'!$F$2:$F$67,1,FALSE)),0,VLOOKUP($A218,'2 Bridges Relay'!$F$2:$J$67,5,FALSE))</f>
        <v>0</v>
      </c>
      <c r="G218" s="88">
        <f>IF(ISNA(VLOOKUP($A218,'5M''s'!$D$2:$E$27,1,FALSE)),0,VLOOKUP($A218,'5M''s'!$D$2:$E$27,2,FALSE))</f>
        <v>0</v>
      </c>
      <c r="H218" s="62">
        <f>IF(ISNA(VLOOKUP($A218,'Mile handicap'!$C$2:$C$51,1,FALSE)),0,VLOOKUP($A218,'Mile handicap'!$C$2:$K$51,9,FALSE))</f>
        <v>0</v>
      </c>
      <c r="I218" s="62">
        <f>IF(ISNA(VLOOKUP($A218,'5000m handicap'!$C$2:$C$46,1,FALSE)),0,VLOOKUP($A218,'5000m handicap'!$C$2:$K$46,9,FALSE))</f>
        <v>0</v>
      </c>
      <c r="J218" s="62">
        <f>IF(ISNA(VLOOKUP($A218,'KL handicap'!$C$2:$C$37,1,FALSE)),0,VLOOKUP($A218,'KL handicap'!$C$2:$I$37,7,FALSE))</f>
        <v>0</v>
      </c>
      <c r="K218" s="62">
        <f>IF(ISNA(VLOOKUP($A218,'3000m handicap'!$C$2:$C$47,1,FALSE)),0,VLOOKUP($A218,'3000m handicap'!$C$2:$K$47,9,FALSE))</f>
        <v>0</v>
      </c>
      <c r="L218" s="62">
        <f>IF(ISNA(VLOOKUP($A218,'10 km'!$B$2:$B$50,1,FALSE)),0,VLOOKUP($A218,'10 km'!$B$2:$D$50,3,FALSE))</f>
        <v>0</v>
      </c>
      <c r="M218" s="62">
        <f>IF(ISNA(VLOOKUP($A218,'Peter Moor 2000m'!$C$2:$C$30,1,FALSE)),0,VLOOKUP($A218,'Peter Moor 2000m'!$C$2:$I$30,7,FALSE))</f>
        <v>0</v>
      </c>
      <c r="N218" s="62">
        <f>IF(ISNA(VLOOKUP($A218,'Max Howard Tan handicap'!$C$2:$C$23,1,FALSE)),0,VLOOKUP($A218,'Max Howard Tan handicap'!$C$2:$I$23,7,FALSE))</f>
        <v>0</v>
      </c>
      <c r="O218" s="88">
        <f>IF(ISNA(VLOOKUP($A218,parkrun!$B$2:$H$145,1,FALSE)),0,VLOOKUP($A218,parkrun!$B$2:$H$145,7,FALSE))</f>
        <v>0</v>
      </c>
      <c r="P218" s="133">
        <f>SUM(F218:O218)</f>
        <v>0</v>
      </c>
      <c r="Q218" s="134">
        <f>COUNTIF(F218:O218,"&gt;0")</f>
        <v>0</v>
      </c>
      <c r="R218" s="215">
        <f>SMALL(F218:O218,1)+SMALL(F218:O218,2)</f>
        <v>0</v>
      </c>
      <c r="S218" s="215">
        <f>IF(Q218=1,P218,P218-R218)</f>
        <v>0</v>
      </c>
      <c r="T218" s="216">
        <f>RANK(P218,$P$5:$P$230,0)</f>
        <v>142</v>
      </c>
      <c r="U218" s="26">
        <f>RANK(S218,$S$5:$S$230,0)</f>
        <v>142</v>
      </c>
      <c r="W218" s="113"/>
    </row>
    <row r="219" spans="1:23" x14ac:dyDescent="0.2">
      <c r="A219" s="46" t="s">
        <v>61</v>
      </c>
      <c r="B219" s="81">
        <v>58</v>
      </c>
      <c r="C219" s="81" t="s">
        <v>233</v>
      </c>
      <c r="D219" s="146">
        <v>27030</v>
      </c>
      <c r="E219" s="81" t="s">
        <v>214</v>
      </c>
      <c r="F219" s="61">
        <f>IF(ISNA(VLOOKUP($A219,'2 Bridges Relay'!$F$2:$F$67,1,FALSE)),0,VLOOKUP($A219,'2 Bridges Relay'!$F$2:$J$67,5,FALSE))</f>
        <v>0</v>
      </c>
      <c r="G219" s="88">
        <f>IF(ISNA(VLOOKUP($A219,'5M''s'!$D$2:$E$27,1,FALSE)),0,VLOOKUP($A219,'5M''s'!$D$2:$E$27,2,FALSE))</f>
        <v>0</v>
      </c>
      <c r="H219" s="62">
        <f>IF(ISNA(VLOOKUP($A219,'Mile handicap'!$C$2:$C$51,1,FALSE)),0,VLOOKUP($A219,'Mile handicap'!$C$2:$K$51,9,FALSE))</f>
        <v>0</v>
      </c>
      <c r="I219" s="62">
        <f>IF(ISNA(VLOOKUP($A219,'5000m handicap'!$C$2:$C$46,1,FALSE)),0,VLOOKUP($A219,'5000m handicap'!$C$2:$K$46,9,FALSE))</f>
        <v>0</v>
      </c>
      <c r="J219" s="62">
        <f>IF(ISNA(VLOOKUP($A219,'KL handicap'!$C$2:$C$37,1,FALSE)),0,VLOOKUP($A219,'KL handicap'!$C$2:$I$37,7,FALSE))</f>
        <v>0</v>
      </c>
      <c r="K219" s="62">
        <f>IF(ISNA(VLOOKUP($A219,'3000m handicap'!$C$2:$C$47,1,FALSE)),0,VLOOKUP($A219,'3000m handicap'!$C$2:$K$47,9,FALSE))</f>
        <v>0</v>
      </c>
      <c r="L219" s="62">
        <f>IF(ISNA(VLOOKUP($A219,'10 km'!$B$2:$B$50,1,FALSE)),0,VLOOKUP($A219,'10 km'!$B$2:$D$50,3,FALSE))</f>
        <v>0</v>
      </c>
      <c r="M219" s="62">
        <f>IF(ISNA(VLOOKUP($A219,'Peter Moor 2000m'!$C$2:$C$30,1,FALSE)),0,VLOOKUP($A219,'Peter Moor 2000m'!$C$2:$I$30,7,FALSE))</f>
        <v>0</v>
      </c>
      <c r="N219" s="62">
        <f>IF(ISNA(VLOOKUP($A219,'Max Howard Tan handicap'!$C$2:$C$23,1,FALSE)),0,VLOOKUP($A219,'Max Howard Tan handicap'!$C$2:$I$23,7,FALSE))</f>
        <v>0</v>
      </c>
      <c r="O219" s="88">
        <f>IF(ISNA(VLOOKUP($A219,parkrun!$B$2:$H$145,1,FALSE)),0,VLOOKUP($A219,parkrun!$B$2:$H$145,7,FALSE))</f>
        <v>0</v>
      </c>
      <c r="P219" s="133">
        <f>SUM(F219:O219)</f>
        <v>0</v>
      </c>
      <c r="Q219" s="134">
        <f>COUNTIF(F219:O219,"&gt;0")</f>
        <v>0</v>
      </c>
      <c r="R219" s="215">
        <f>SMALL(F219:O219,1)+SMALL(F219:O219,2)</f>
        <v>0</v>
      </c>
      <c r="S219" s="215">
        <f>IF(Q219=1,P219,P219-R219)</f>
        <v>0</v>
      </c>
      <c r="T219" s="216">
        <f>RANK(P219,$P$5:$P$230,0)</f>
        <v>142</v>
      </c>
      <c r="U219" s="26">
        <f>RANK(S219,$S$5:$S$230,0)</f>
        <v>142</v>
      </c>
      <c r="W219" s="113"/>
    </row>
    <row r="220" spans="1:23" x14ac:dyDescent="0.2">
      <c r="A220" s="46" t="s">
        <v>341</v>
      </c>
      <c r="B220" s="81">
        <v>276</v>
      </c>
      <c r="C220" s="81" t="s">
        <v>233</v>
      </c>
      <c r="D220" s="146">
        <v>33591</v>
      </c>
      <c r="E220" s="81" t="s">
        <v>214</v>
      </c>
      <c r="F220" s="61">
        <f>IF(ISNA(VLOOKUP($A220,'2 Bridges Relay'!$F$2:$F$67,1,FALSE)),0,VLOOKUP($A220,'2 Bridges Relay'!$F$2:$J$67,5,FALSE))</f>
        <v>0</v>
      </c>
      <c r="G220" s="88">
        <f>IF(ISNA(VLOOKUP($A220,'5M''s'!$D$2:$E$27,1,FALSE)),0,VLOOKUP($A220,'5M''s'!$D$2:$E$27,2,FALSE))</f>
        <v>0</v>
      </c>
      <c r="H220" s="62">
        <f>IF(ISNA(VLOOKUP($A220,'Mile handicap'!$C$2:$C$51,1,FALSE)),0,VLOOKUP($A220,'Mile handicap'!$C$2:$K$51,9,FALSE))</f>
        <v>0</v>
      </c>
      <c r="I220" s="62">
        <f>IF(ISNA(VLOOKUP($A220,'5000m handicap'!$C$2:$C$46,1,FALSE)),0,VLOOKUP($A220,'5000m handicap'!$C$2:$K$46,9,FALSE))</f>
        <v>0</v>
      </c>
      <c r="J220" s="62">
        <f>IF(ISNA(VLOOKUP($A220,'KL handicap'!$C$2:$C$37,1,FALSE)),0,VLOOKUP($A220,'KL handicap'!$C$2:$I$37,7,FALSE))</f>
        <v>0</v>
      </c>
      <c r="K220" s="62">
        <f>IF(ISNA(VLOOKUP($A220,'3000m handicap'!$C$2:$C$47,1,FALSE)),0,VLOOKUP($A220,'3000m handicap'!$C$2:$K$47,9,FALSE))</f>
        <v>0</v>
      </c>
      <c r="L220" s="62">
        <f>IF(ISNA(VLOOKUP($A220,'10 km'!$B$2:$B$50,1,FALSE)),0,VLOOKUP($A220,'10 km'!$B$2:$D$50,3,FALSE))</f>
        <v>0</v>
      </c>
      <c r="M220" s="62">
        <f>IF(ISNA(VLOOKUP($A220,'Peter Moor 2000m'!$C$2:$C$30,1,FALSE)),0,VLOOKUP($A220,'Peter Moor 2000m'!$C$2:$I$30,7,FALSE))</f>
        <v>0</v>
      </c>
      <c r="N220" s="62">
        <f>IF(ISNA(VLOOKUP($A220,'Max Howard Tan handicap'!$C$2:$C$23,1,FALSE)),0,VLOOKUP($A220,'Max Howard Tan handicap'!$C$2:$I$23,7,FALSE))</f>
        <v>0</v>
      </c>
      <c r="O220" s="88">
        <f>IF(ISNA(VLOOKUP($A220,parkrun!$B$2:$H$145,1,FALSE)),0,VLOOKUP($A220,parkrun!$B$2:$H$145,7,FALSE))</f>
        <v>0</v>
      </c>
      <c r="P220" s="133">
        <f>SUM(F220:O220)</f>
        <v>0</v>
      </c>
      <c r="Q220" s="134">
        <f>COUNTIF(F220:O220,"&gt;0")</f>
        <v>0</v>
      </c>
      <c r="R220" s="215">
        <f>SMALL(F220:O220,1)+SMALL(F220:O220,2)</f>
        <v>0</v>
      </c>
      <c r="S220" s="215">
        <f>IF(Q220=1,P220,P220-R220)</f>
        <v>0</v>
      </c>
      <c r="T220" s="216">
        <f>RANK(P220,$P$5:$P$230,0)</f>
        <v>142</v>
      </c>
      <c r="U220" s="26">
        <f>RANK(S220,$S$5:$S$230,0)</f>
        <v>142</v>
      </c>
      <c r="W220" s="113"/>
    </row>
    <row r="221" spans="1:23" x14ac:dyDescent="0.2">
      <c r="A221" s="46" t="s">
        <v>36</v>
      </c>
      <c r="B221" s="81">
        <v>126</v>
      </c>
      <c r="C221" s="81" t="s">
        <v>233</v>
      </c>
      <c r="D221" s="146">
        <v>27732</v>
      </c>
      <c r="E221" s="81" t="s">
        <v>214</v>
      </c>
      <c r="F221" s="61">
        <f>IF(ISNA(VLOOKUP($A221,'2 Bridges Relay'!$F$2:$F$67,1,FALSE)),0,VLOOKUP($A221,'2 Bridges Relay'!$F$2:$J$67,5,FALSE))</f>
        <v>0</v>
      </c>
      <c r="G221" s="88">
        <f>IF(ISNA(VLOOKUP($A221,'5M''s'!$D$2:$E$27,1,FALSE)),0,VLOOKUP($A221,'5M''s'!$D$2:$E$27,2,FALSE))</f>
        <v>0</v>
      </c>
      <c r="H221" s="62">
        <f>IF(ISNA(VLOOKUP($A221,'Mile handicap'!$C$2:$C$51,1,FALSE)),0,VLOOKUP($A221,'Mile handicap'!$C$2:$K$51,9,FALSE))</f>
        <v>0</v>
      </c>
      <c r="I221" s="62">
        <f>IF(ISNA(VLOOKUP($A221,'5000m handicap'!$C$2:$C$46,1,FALSE)),0,VLOOKUP($A221,'5000m handicap'!$C$2:$K$46,9,FALSE))</f>
        <v>0</v>
      </c>
      <c r="J221" s="62">
        <f>IF(ISNA(VLOOKUP($A221,'KL handicap'!$C$2:$C$37,1,FALSE)),0,VLOOKUP($A221,'KL handicap'!$C$2:$I$37,7,FALSE))</f>
        <v>0</v>
      </c>
      <c r="K221" s="62">
        <f>IF(ISNA(VLOOKUP($A221,'3000m handicap'!$C$2:$C$47,1,FALSE)),0,VLOOKUP($A221,'3000m handicap'!$C$2:$K$47,9,FALSE))</f>
        <v>0</v>
      </c>
      <c r="L221" s="62">
        <f>IF(ISNA(VLOOKUP($A221,'10 km'!$B$2:$B$50,1,FALSE)),0,VLOOKUP($A221,'10 km'!$B$2:$D$50,3,FALSE))</f>
        <v>0</v>
      </c>
      <c r="M221" s="62">
        <f>IF(ISNA(VLOOKUP($A221,'Peter Moor 2000m'!$C$2:$C$30,1,FALSE)),0,VLOOKUP($A221,'Peter Moor 2000m'!$C$2:$I$30,7,FALSE))</f>
        <v>0</v>
      </c>
      <c r="N221" s="62">
        <f>IF(ISNA(VLOOKUP($A221,'Max Howard Tan handicap'!$C$2:$C$23,1,FALSE)),0,VLOOKUP($A221,'Max Howard Tan handicap'!$C$2:$I$23,7,FALSE))</f>
        <v>0</v>
      </c>
      <c r="O221" s="88">
        <f>IF(ISNA(VLOOKUP($A221,parkrun!$B$2:$H$145,1,FALSE)),0,VLOOKUP($A221,parkrun!$B$2:$H$145,7,FALSE))</f>
        <v>0</v>
      </c>
      <c r="P221" s="133">
        <f>SUM(F221:O221)</f>
        <v>0</v>
      </c>
      <c r="Q221" s="134">
        <f>COUNTIF(F221:O221,"&gt;0")</f>
        <v>0</v>
      </c>
      <c r="R221" s="215">
        <f>SMALL(F221:O221,1)+SMALL(F221:O221,2)</f>
        <v>0</v>
      </c>
      <c r="S221" s="215">
        <f>IF(Q221=1,P221,P221-R221)</f>
        <v>0</v>
      </c>
      <c r="T221" s="216">
        <f>RANK(P221,$P$5:$P$230,0)</f>
        <v>142</v>
      </c>
      <c r="U221" s="26">
        <f>RANK(S221,$S$5:$S$230,0)</f>
        <v>142</v>
      </c>
      <c r="W221" s="113"/>
    </row>
    <row r="222" spans="1:23" x14ac:dyDescent="0.2">
      <c r="A222" s="46" t="s">
        <v>40</v>
      </c>
      <c r="B222" s="81">
        <v>60</v>
      </c>
      <c r="C222" s="81" t="s">
        <v>233</v>
      </c>
      <c r="D222" s="146">
        <v>30605</v>
      </c>
      <c r="E222" s="81" t="s">
        <v>214</v>
      </c>
      <c r="F222" s="61">
        <f>IF(ISNA(VLOOKUP($A222,'2 Bridges Relay'!$F$2:$F$67,1,FALSE)),0,VLOOKUP($A222,'2 Bridges Relay'!$F$2:$J$67,5,FALSE))</f>
        <v>0</v>
      </c>
      <c r="G222" s="88">
        <f>IF(ISNA(VLOOKUP($A222,'5M''s'!$D$2:$E$27,1,FALSE)),0,VLOOKUP($A222,'5M''s'!$D$2:$E$27,2,FALSE))</f>
        <v>0</v>
      </c>
      <c r="H222" s="62">
        <f>IF(ISNA(VLOOKUP($A222,'Mile handicap'!$C$2:$C$51,1,FALSE)),0,VLOOKUP($A222,'Mile handicap'!$C$2:$K$51,9,FALSE))</f>
        <v>0</v>
      </c>
      <c r="I222" s="62">
        <f>IF(ISNA(VLOOKUP($A222,'5000m handicap'!$C$2:$C$46,1,FALSE)),0,VLOOKUP($A222,'5000m handicap'!$C$2:$K$46,9,FALSE))</f>
        <v>0</v>
      </c>
      <c r="J222" s="62">
        <f>IF(ISNA(VLOOKUP($A222,'KL handicap'!$C$2:$C$37,1,FALSE)),0,VLOOKUP($A222,'KL handicap'!$C$2:$I$37,7,FALSE))</f>
        <v>0</v>
      </c>
      <c r="K222" s="62">
        <f>IF(ISNA(VLOOKUP($A222,'3000m handicap'!$C$2:$C$47,1,FALSE)),0,VLOOKUP($A222,'3000m handicap'!$C$2:$K$47,9,FALSE))</f>
        <v>0</v>
      </c>
      <c r="L222" s="62">
        <f>IF(ISNA(VLOOKUP($A222,'10 km'!$B$2:$B$50,1,FALSE)),0,VLOOKUP($A222,'10 km'!$B$2:$D$50,3,FALSE))</f>
        <v>0</v>
      </c>
      <c r="M222" s="62">
        <f>IF(ISNA(VLOOKUP($A222,'Peter Moor 2000m'!$C$2:$C$30,1,FALSE)),0,VLOOKUP($A222,'Peter Moor 2000m'!$C$2:$I$30,7,FALSE))</f>
        <v>0</v>
      </c>
      <c r="N222" s="62">
        <f>IF(ISNA(VLOOKUP($A222,'Max Howard Tan handicap'!$C$2:$C$23,1,FALSE)),0,VLOOKUP($A222,'Max Howard Tan handicap'!$C$2:$I$23,7,FALSE))</f>
        <v>0</v>
      </c>
      <c r="O222" s="88">
        <f>IF(ISNA(VLOOKUP($A222,parkrun!$B$2:$H$145,1,FALSE)),0,VLOOKUP($A222,parkrun!$B$2:$H$145,7,FALSE))</f>
        <v>0</v>
      </c>
      <c r="P222" s="133">
        <f>SUM(F222:O222)</f>
        <v>0</v>
      </c>
      <c r="Q222" s="134">
        <f>COUNTIF(F222:O222,"&gt;0")</f>
        <v>0</v>
      </c>
      <c r="R222" s="215">
        <f>SMALL(F222:O222,1)+SMALL(F222:O222,2)</f>
        <v>0</v>
      </c>
      <c r="S222" s="215">
        <f>IF(Q222=1,P222,P222-R222)</f>
        <v>0</v>
      </c>
      <c r="T222" s="216">
        <f>RANK(P222,$P$5:$P$230,0)</f>
        <v>142</v>
      </c>
      <c r="U222" s="26">
        <f>RANK(S222,$S$5:$S$230,0)</f>
        <v>142</v>
      </c>
      <c r="W222" s="113"/>
    </row>
    <row r="223" spans="1:23" x14ac:dyDescent="0.2">
      <c r="A223" s="46" t="s">
        <v>56</v>
      </c>
      <c r="B223" s="81">
        <v>127</v>
      </c>
      <c r="C223" s="81" t="s">
        <v>233</v>
      </c>
      <c r="D223" s="146">
        <v>24560</v>
      </c>
      <c r="E223" s="81" t="s">
        <v>196</v>
      </c>
      <c r="F223" s="61">
        <f>IF(ISNA(VLOOKUP($A223,'2 Bridges Relay'!$F$2:$F$67,1,FALSE)),0,VLOOKUP($A223,'2 Bridges Relay'!$F$2:$J$67,5,FALSE))</f>
        <v>0</v>
      </c>
      <c r="G223" s="88">
        <f>IF(ISNA(VLOOKUP($A223,'5M''s'!$D$2:$E$27,1,FALSE)),0,VLOOKUP($A223,'5M''s'!$D$2:$E$27,2,FALSE))</f>
        <v>0</v>
      </c>
      <c r="H223" s="62">
        <f>IF(ISNA(VLOOKUP($A223,'Mile handicap'!$C$2:$C$51,1,FALSE)),0,VLOOKUP($A223,'Mile handicap'!$C$2:$K$51,9,FALSE))</f>
        <v>0</v>
      </c>
      <c r="I223" s="62">
        <f>IF(ISNA(VLOOKUP($A223,'5000m handicap'!$C$2:$C$46,1,FALSE)),0,VLOOKUP($A223,'5000m handicap'!$C$2:$K$46,9,FALSE))</f>
        <v>0</v>
      </c>
      <c r="J223" s="62">
        <f>IF(ISNA(VLOOKUP($A223,'KL handicap'!$C$2:$C$37,1,FALSE)),0,VLOOKUP($A223,'KL handicap'!$C$2:$I$37,7,FALSE))</f>
        <v>0</v>
      </c>
      <c r="K223" s="62">
        <f>IF(ISNA(VLOOKUP($A223,'3000m handicap'!$C$2:$C$47,1,FALSE)),0,VLOOKUP($A223,'3000m handicap'!$C$2:$K$47,9,FALSE))</f>
        <v>0</v>
      </c>
      <c r="L223" s="62">
        <f>IF(ISNA(VLOOKUP($A223,'10 km'!$B$2:$B$50,1,FALSE)),0,VLOOKUP($A223,'10 km'!$B$2:$D$50,3,FALSE))</f>
        <v>0</v>
      </c>
      <c r="M223" s="62">
        <f>IF(ISNA(VLOOKUP($A223,'Peter Moor 2000m'!$C$2:$C$30,1,FALSE)),0,VLOOKUP($A223,'Peter Moor 2000m'!$C$2:$I$30,7,FALSE))</f>
        <v>0</v>
      </c>
      <c r="N223" s="62">
        <f>IF(ISNA(VLOOKUP($A223,'Max Howard Tan handicap'!$C$2:$C$23,1,FALSE)),0,VLOOKUP($A223,'Max Howard Tan handicap'!$C$2:$I$23,7,FALSE))</f>
        <v>0</v>
      </c>
      <c r="O223" s="88">
        <f>IF(ISNA(VLOOKUP($A223,parkrun!$B$2:$H$145,1,FALSE)),0,VLOOKUP($A223,parkrun!$B$2:$H$145,7,FALSE))</f>
        <v>0</v>
      </c>
      <c r="P223" s="133">
        <f>SUM(F223:O223)</f>
        <v>0</v>
      </c>
      <c r="Q223" s="134">
        <f>COUNTIF(F223:O223,"&gt;0")</f>
        <v>0</v>
      </c>
      <c r="R223" s="215">
        <f>SMALL(F223:O223,1)+SMALL(F223:O223,2)</f>
        <v>0</v>
      </c>
      <c r="S223" s="215">
        <f>IF(Q223=1,P223,P223-R223)</f>
        <v>0</v>
      </c>
      <c r="T223" s="216">
        <f>RANK(P223,$P$5:$P$230,0)</f>
        <v>142</v>
      </c>
      <c r="U223" s="26">
        <f>RANK(S223,$S$5:$S$230,0)</f>
        <v>142</v>
      </c>
      <c r="W223" s="113"/>
    </row>
    <row r="224" spans="1:23" x14ac:dyDescent="0.2">
      <c r="A224" s="46" t="s">
        <v>672</v>
      </c>
      <c r="B224" s="81">
        <v>338</v>
      </c>
      <c r="C224" s="81" t="s">
        <v>233</v>
      </c>
      <c r="D224" s="146">
        <v>32226</v>
      </c>
      <c r="E224" s="81" t="s">
        <v>214</v>
      </c>
      <c r="F224" s="61">
        <f>IF(ISNA(VLOOKUP($A224,'2 Bridges Relay'!$F$2:$F$67,1,FALSE)),0,VLOOKUP($A224,'2 Bridges Relay'!$F$2:$J$67,5,FALSE))</f>
        <v>0</v>
      </c>
      <c r="G224" s="88">
        <f>IF(ISNA(VLOOKUP($A224,'5M''s'!$D$2:$E$27,1,FALSE)),0,VLOOKUP($A224,'5M''s'!$D$2:$E$27,2,FALSE))</f>
        <v>0</v>
      </c>
      <c r="H224" s="62">
        <f>IF(ISNA(VLOOKUP($A224,'Mile handicap'!$C$2:$C$51,1,FALSE)),0,VLOOKUP($A224,'Mile handicap'!$C$2:$K$51,9,FALSE))</f>
        <v>0</v>
      </c>
      <c r="I224" s="62">
        <f>IF(ISNA(VLOOKUP($A224,'5000m handicap'!$C$2:$C$46,1,FALSE)),0,VLOOKUP($A224,'5000m handicap'!$C$2:$K$46,9,FALSE))</f>
        <v>0</v>
      </c>
      <c r="J224" s="62">
        <f>IF(ISNA(VLOOKUP($A224,'KL handicap'!$C$2:$C$37,1,FALSE)),0,VLOOKUP($A224,'KL handicap'!$C$2:$I$37,7,FALSE))</f>
        <v>0</v>
      </c>
      <c r="K224" s="62">
        <f>IF(ISNA(VLOOKUP($A224,'3000m handicap'!$C$2:$C$47,1,FALSE)),0,VLOOKUP($A224,'3000m handicap'!$C$2:$K$47,9,FALSE))</f>
        <v>0</v>
      </c>
      <c r="L224" s="62">
        <f>IF(ISNA(VLOOKUP($A224,'10 km'!$B$2:$B$50,1,FALSE)),0,VLOOKUP($A224,'10 km'!$B$2:$D$50,3,FALSE))</f>
        <v>0</v>
      </c>
      <c r="M224" s="62">
        <f>IF(ISNA(VLOOKUP($A224,'Peter Moor 2000m'!$C$2:$C$30,1,FALSE)),0,VLOOKUP($A224,'Peter Moor 2000m'!$C$2:$I$30,7,FALSE))</f>
        <v>0</v>
      </c>
      <c r="N224" s="62">
        <f>IF(ISNA(VLOOKUP($A224,'Max Howard Tan handicap'!$C$2:$C$23,1,FALSE)),0,VLOOKUP($A224,'Max Howard Tan handicap'!$C$2:$I$23,7,FALSE))</f>
        <v>0</v>
      </c>
      <c r="O224" s="88">
        <f>IF(ISNA(VLOOKUP($A224,parkrun!$B$2:$H$145,1,FALSE)),0,VLOOKUP($A224,parkrun!$B$2:$H$145,7,FALSE))</f>
        <v>0</v>
      </c>
      <c r="P224" s="133">
        <f>SUM(F224:O224)</f>
        <v>0</v>
      </c>
      <c r="Q224" s="134">
        <f>COUNTIF(F224:O224,"&gt;0")</f>
        <v>0</v>
      </c>
      <c r="R224" s="215">
        <f>SMALL(F224:O224,1)+SMALL(F224:O224,2)</f>
        <v>0</v>
      </c>
      <c r="S224" s="215">
        <f>IF(Q224=1,P224,P224-R224)</f>
        <v>0</v>
      </c>
      <c r="T224" s="216">
        <f>RANK(P224,$P$5:$P$230,0)</f>
        <v>142</v>
      </c>
      <c r="U224" s="26">
        <f>RANK(S224,$S$5:$S$230,0)</f>
        <v>142</v>
      </c>
      <c r="W224" s="113"/>
    </row>
    <row r="225" spans="1:23" x14ac:dyDescent="0.2">
      <c r="A225" s="46" t="s">
        <v>227</v>
      </c>
      <c r="B225" s="81">
        <v>148</v>
      </c>
      <c r="C225" s="81" t="s">
        <v>233</v>
      </c>
      <c r="D225" s="146">
        <v>32059</v>
      </c>
      <c r="E225" s="81" t="s">
        <v>214</v>
      </c>
      <c r="F225" s="61">
        <f>IF(ISNA(VLOOKUP($A225,'2 Bridges Relay'!$F$2:$F$67,1,FALSE)),0,VLOOKUP($A225,'2 Bridges Relay'!$F$2:$J$67,5,FALSE))</f>
        <v>0</v>
      </c>
      <c r="G225" s="88">
        <f>IF(ISNA(VLOOKUP($A225,'5M''s'!$D$2:$E$27,1,FALSE)),0,VLOOKUP($A225,'5M''s'!$D$2:$E$27,2,FALSE))</f>
        <v>0</v>
      </c>
      <c r="H225" s="62">
        <f>IF(ISNA(VLOOKUP($A225,'Mile handicap'!$C$2:$C$51,1,FALSE)),0,VLOOKUP($A225,'Mile handicap'!$C$2:$K$51,9,FALSE))</f>
        <v>0</v>
      </c>
      <c r="I225" s="62">
        <f>IF(ISNA(VLOOKUP($A225,'5000m handicap'!$C$2:$C$46,1,FALSE)),0,VLOOKUP($A225,'5000m handicap'!$C$2:$K$46,9,FALSE))</f>
        <v>0</v>
      </c>
      <c r="J225" s="62">
        <f>IF(ISNA(VLOOKUP($A225,'KL handicap'!$C$2:$C$37,1,FALSE)),0,VLOOKUP($A225,'KL handicap'!$C$2:$I$37,7,FALSE))</f>
        <v>0</v>
      </c>
      <c r="K225" s="62">
        <f>IF(ISNA(VLOOKUP($A225,'3000m handicap'!$C$2:$C$47,1,FALSE)),0,VLOOKUP($A225,'3000m handicap'!$C$2:$K$47,9,FALSE))</f>
        <v>0</v>
      </c>
      <c r="L225" s="62">
        <f>IF(ISNA(VLOOKUP($A225,'10 km'!$B$2:$B$50,1,FALSE)),0,VLOOKUP($A225,'10 km'!$B$2:$D$50,3,FALSE))</f>
        <v>0</v>
      </c>
      <c r="M225" s="62">
        <f>IF(ISNA(VLOOKUP($A225,'Peter Moor 2000m'!$C$2:$C$30,1,FALSE)),0,VLOOKUP($A225,'Peter Moor 2000m'!$C$2:$I$30,7,FALSE))</f>
        <v>0</v>
      </c>
      <c r="N225" s="62">
        <f>IF(ISNA(VLOOKUP($A225,'Max Howard Tan handicap'!$C$2:$C$23,1,FALSE)),0,VLOOKUP($A225,'Max Howard Tan handicap'!$C$2:$I$23,7,FALSE))</f>
        <v>0</v>
      </c>
      <c r="O225" s="88">
        <f>IF(ISNA(VLOOKUP($A225,parkrun!$B$2:$H$145,1,FALSE)),0,VLOOKUP($A225,parkrun!$B$2:$H$145,7,FALSE))</f>
        <v>0</v>
      </c>
      <c r="P225" s="133">
        <f>SUM(F225:O225)</f>
        <v>0</v>
      </c>
      <c r="Q225" s="134">
        <f>COUNTIF(F225:O225,"&gt;0")</f>
        <v>0</v>
      </c>
      <c r="R225" s="215">
        <f>SMALL(F225:O225,1)+SMALL(F225:O225,2)</f>
        <v>0</v>
      </c>
      <c r="S225" s="215">
        <f>IF(Q225=1,P225,P225-R225)</f>
        <v>0</v>
      </c>
      <c r="T225" s="216">
        <f>RANK(P225,$P$5:$P$230,0)</f>
        <v>142</v>
      </c>
      <c r="U225" s="26">
        <f>RANK(S225,$S$5:$S$230,0)</f>
        <v>142</v>
      </c>
      <c r="W225" s="113"/>
    </row>
    <row r="226" spans="1:23" x14ac:dyDescent="0.2">
      <c r="A226" s="46" t="s">
        <v>358</v>
      </c>
      <c r="B226" s="81">
        <v>259</v>
      </c>
      <c r="C226" s="81" t="s">
        <v>233</v>
      </c>
      <c r="D226" s="146">
        <v>33167</v>
      </c>
      <c r="E226" s="81" t="s">
        <v>214</v>
      </c>
      <c r="F226" s="61">
        <f>IF(ISNA(VLOOKUP($A226,'2 Bridges Relay'!$F$2:$F$67,1,FALSE)),0,VLOOKUP($A226,'2 Bridges Relay'!$F$2:$J$67,5,FALSE))</f>
        <v>0</v>
      </c>
      <c r="G226" s="88">
        <f>IF(ISNA(VLOOKUP($A226,'5M''s'!$D$2:$E$27,1,FALSE)),0,VLOOKUP($A226,'5M''s'!$D$2:$E$27,2,FALSE))</f>
        <v>0</v>
      </c>
      <c r="H226" s="62">
        <f>IF(ISNA(VLOOKUP($A226,'Mile handicap'!$C$2:$C$51,1,FALSE)),0,VLOOKUP($A226,'Mile handicap'!$C$2:$K$51,9,FALSE))</f>
        <v>0</v>
      </c>
      <c r="I226" s="62">
        <f>IF(ISNA(VLOOKUP($A226,'5000m handicap'!$C$2:$C$46,1,FALSE)),0,VLOOKUP($A226,'5000m handicap'!$C$2:$K$46,9,FALSE))</f>
        <v>0</v>
      </c>
      <c r="J226" s="62">
        <f>IF(ISNA(VLOOKUP($A226,'KL handicap'!$C$2:$C$37,1,FALSE)),0,VLOOKUP($A226,'KL handicap'!$C$2:$I$37,7,FALSE))</f>
        <v>0</v>
      </c>
      <c r="K226" s="62">
        <f>IF(ISNA(VLOOKUP($A226,'3000m handicap'!$C$2:$C$47,1,FALSE)),0,VLOOKUP($A226,'3000m handicap'!$C$2:$K$47,9,FALSE))</f>
        <v>0</v>
      </c>
      <c r="L226" s="62">
        <f>IF(ISNA(VLOOKUP($A226,'10 km'!$B$2:$B$50,1,FALSE)),0,VLOOKUP($A226,'10 km'!$B$2:$D$50,3,FALSE))</f>
        <v>0</v>
      </c>
      <c r="M226" s="62">
        <f>IF(ISNA(VLOOKUP($A226,'Peter Moor 2000m'!$C$2:$C$30,1,FALSE)),0,VLOOKUP($A226,'Peter Moor 2000m'!$C$2:$I$30,7,FALSE))</f>
        <v>0</v>
      </c>
      <c r="N226" s="62">
        <f>IF(ISNA(VLOOKUP($A226,'Max Howard Tan handicap'!$C$2:$C$23,1,FALSE)),0,VLOOKUP($A226,'Max Howard Tan handicap'!$C$2:$I$23,7,FALSE))</f>
        <v>0</v>
      </c>
      <c r="O226" s="88">
        <f>IF(ISNA(VLOOKUP($A226,parkrun!$B$2:$H$145,1,FALSE)),0,VLOOKUP($A226,parkrun!$B$2:$H$145,7,FALSE))</f>
        <v>0</v>
      </c>
      <c r="P226" s="133">
        <f>SUM(F226:O226)</f>
        <v>0</v>
      </c>
      <c r="Q226" s="134">
        <f>COUNTIF(F226:O226,"&gt;0")</f>
        <v>0</v>
      </c>
      <c r="R226" s="215">
        <f>SMALL(F226:O226,1)+SMALL(F226:O226,2)</f>
        <v>0</v>
      </c>
      <c r="S226" s="215">
        <f>IF(Q226=1,P226,P226-R226)</f>
        <v>0</v>
      </c>
      <c r="T226" s="216">
        <f>RANK(P226,$P$5:$P$230,0)</f>
        <v>142</v>
      </c>
      <c r="U226" s="26">
        <f>RANK(S226,$S$5:$S$230,0)</f>
        <v>142</v>
      </c>
      <c r="W226" s="113"/>
    </row>
    <row r="227" spans="1:23" x14ac:dyDescent="0.2">
      <c r="A227" s="46" t="s">
        <v>669</v>
      </c>
      <c r="B227" s="81">
        <v>334</v>
      </c>
      <c r="C227" s="81" t="s">
        <v>233</v>
      </c>
      <c r="D227" s="146">
        <v>30272</v>
      </c>
      <c r="E227" s="81" t="s">
        <v>214</v>
      </c>
      <c r="F227" s="61">
        <f>IF(ISNA(VLOOKUP($A227,'2 Bridges Relay'!$F$2:$F$67,1,FALSE)),0,VLOOKUP($A227,'2 Bridges Relay'!$F$2:$J$67,5,FALSE))</f>
        <v>0</v>
      </c>
      <c r="G227" s="88">
        <f>IF(ISNA(VLOOKUP($A227,'5M''s'!$D$2:$E$27,1,FALSE)),0,VLOOKUP($A227,'5M''s'!$D$2:$E$27,2,FALSE))</f>
        <v>0</v>
      </c>
      <c r="H227" s="62">
        <f>IF(ISNA(VLOOKUP($A227,'Mile handicap'!$C$2:$C$51,1,FALSE)),0,VLOOKUP($A227,'Mile handicap'!$C$2:$K$51,9,FALSE))</f>
        <v>0</v>
      </c>
      <c r="I227" s="62">
        <f>IF(ISNA(VLOOKUP($A227,'5000m handicap'!$C$2:$C$46,1,FALSE)),0,VLOOKUP($A227,'5000m handicap'!$C$2:$K$46,9,FALSE))</f>
        <v>0</v>
      </c>
      <c r="J227" s="62">
        <f>IF(ISNA(VLOOKUP($A227,'KL handicap'!$C$2:$C$37,1,FALSE)),0,VLOOKUP($A227,'KL handicap'!$C$2:$I$37,7,FALSE))</f>
        <v>0</v>
      </c>
      <c r="K227" s="62">
        <f>IF(ISNA(VLOOKUP($A227,'3000m handicap'!$C$2:$C$47,1,FALSE)),0,VLOOKUP($A227,'3000m handicap'!$C$2:$K$47,9,FALSE))</f>
        <v>0</v>
      </c>
      <c r="L227" s="62">
        <f>IF(ISNA(VLOOKUP($A227,'10 km'!$B$2:$B$50,1,FALSE)),0,VLOOKUP($A227,'10 km'!$B$2:$D$50,3,FALSE))</f>
        <v>0</v>
      </c>
      <c r="M227" s="62">
        <f>IF(ISNA(VLOOKUP($A227,'Peter Moor 2000m'!$C$2:$C$30,1,FALSE)),0,VLOOKUP($A227,'Peter Moor 2000m'!$C$2:$I$30,7,FALSE))</f>
        <v>0</v>
      </c>
      <c r="N227" s="62">
        <f>IF(ISNA(VLOOKUP($A227,'Max Howard Tan handicap'!$C$2:$C$23,1,FALSE)),0,VLOOKUP($A227,'Max Howard Tan handicap'!$C$2:$I$23,7,FALSE))</f>
        <v>0</v>
      </c>
      <c r="O227" s="88">
        <f>IF(ISNA(VLOOKUP($A227,parkrun!$B$2:$H$145,1,FALSE)),0,VLOOKUP($A227,parkrun!$B$2:$H$145,7,FALSE))</f>
        <v>0</v>
      </c>
      <c r="P227" s="133">
        <f>SUM(F227:O227)</f>
        <v>0</v>
      </c>
      <c r="Q227" s="134">
        <f>COUNTIF(F227:O227,"&gt;0")</f>
        <v>0</v>
      </c>
      <c r="R227" s="215">
        <f>SMALL(F227:O227,1)+SMALL(F227:O227,2)</f>
        <v>0</v>
      </c>
      <c r="S227" s="215">
        <f>IF(Q227=1,P227,P227-R227)</f>
        <v>0</v>
      </c>
      <c r="T227" s="216">
        <f>RANK(P227,$P$5:$P$230,0)</f>
        <v>142</v>
      </c>
      <c r="U227" s="26">
        <f>RANK(S227,$S$5:$S$230,0)</f>
        <v>142</v>
      </c>
      <c r="W227" s="113"/>
    </row>
    <row r="228" spans="1:23" x14ac:dyDescent="0.2">
      <c r="A228" s="46" t="s">
        <v>213</v>
      </c>
      <c r="B228" s="81">
        <v>96</v>
      </c>
      <c r="C228" s="81" t="s">
        <v>233</v>
      </c>
      <c r="D228" s="146">
        <v>26672</v>
      </c>
      <c r="E228" s="81" t="s">
        <v>214</v>
      </c>
      <c r="F228" s="61">
        <f>IF(ISNA(VLOOKUP($A228,'2 Bridges Relay'!$F$2:$F$67,1,FALSE)),0,VLOOKUP($A228,'2 Bridges Relay'!$F$2:$J$67,5,FALSE))</f>
        <v>0</v>
      </c>
      <c r="G228" s="88">
        <f>IF(ISNA(VLOOKUP($A228,'5M''s'!$D$2:$E$27,1,FALSE)),0,VLOOKUP($A228,'5M''s'!$D$2:$E$27,2,FALSE))</f>
        <v>0</v>
      </c>
      <c r="H228" s="62">
        <f>IF(ISNA(VLOOKUP($A228,'Mile handicap'!$C$2:$C$51,1,FALSE)),0,VLOOKUP($A228,'Mile handicap'!$C$2:$K$51,9,FALSE))</f>
        <v>0</v>
      </c>
      <c r="I228" s="62">
        <f>IF(ISNA(VLOOKUP($A228,'5000m handicap'!$C$2:$C$46,1,FALSE)),0,VLOOKUP($A228,'5000m handicap'!$C$2:$K$46,9,FALSE))</f>
        <v>0</v>
      </c>
      <c r="J228" s="62">
        <f>IF(ISNA(VLOOKUP($A228,'KL handicap'!$C$2:$C$37,1,FALSE)),0,VLOOKUP($A228,'KL handicap'!$C$2:$I$37,7,FALSE))</f>
        <v>0</v>
      </c>
      <c r="K228" s="62">
        <f>IF(ISNA(VLOOKUP($A228,'3000m handicap'!$C$2:$C$47,1,FALSE)),0,VLOOKUP($A228,'3000m handicap'!$C$2:$K$47,9,FALSE))</f>
        <v>0</v>
      </c>
      <c r="L228" s="62">
        <f>IF(ISNA(VLOOKUP($A228,'10 km'!$B$2:$B$50,1,FALSE)),0,VLOOKUP($A228,'10 km'!$B$2:$D$50,3,FALSE))</f>
        <v>0</v>
      </c>
      <c r="M228" s="62">
        <f>IF(ISNA(VLOOKUP($A228,'Peter Moor 2000m'!$C$2:$C$30,1,FALSE)),0,VLOOKUP($A228,'Peter Moor 2000m'!$C$2:$I$30,7,FALSE))</f>
        <v>0</v>
      </c>
      <c r="N228" s="62">
        <f>IF(ISNA(VLOOKUP($A228,'Max Howard Tan handicap'!$C$2:$C$23,1,FALSE)),0,VLOOKUP($A228,'Max Howard Tan handicap'!$C$2:$I$23,7,FALSE))</f>
        <v>0</v>
      </c>
      <c r="O228" s="88">
        <f>IF(ISNA(VLOOKUP($A228,parkrun!$B$2:$H$145,1,FALSE)),0,VLOOKUP($A228,parkrun!$B$2:$H$145,7,FALSE))</f>
        <v>0</v>
      </c>
      <c r="P228" s="133">
        <f>SUM(F228:O228)</f>
        <v>0</v>
      </c>
      <c r="Q228" s="134">
        <f>COUNTIF(F228:O228,"&gt;0")</f>
        <v>0</v>
      </c>
      <c r="R228" s="215">
        <f>SMALL(F228:O228,1)+SMALL(F228:O228,2)</f>
        <v>0</v>
      </c>
      <c r="S228" s="215">
        <f>IF(Q228=1,P228,P228-R228)</f>
        <v>0</v>
      </c>
      <c r="T228" s="216">
        <f>RANK(P228,$P$5:$P$230,0)</f>
        <v>142</v>
      </c>
      <c r="U228" s="26">
        <f>RANK(S228,$S$5:$S$230,0)</f>
        <v>142</v>
      </c>
      <c r="W228" s="113"/>
    </row>
    <row r="229" spans="1:23" x14ac:dyDescent="0.2">
      <c r="A229" s="46" t="s">
        <v>664</v>
      </c>
      <c r="B229" s="81">
        <v>329</v>
      </c>
      <c r="C229" s="81" t="s">
        <v>233</v>
      </c>
      <c r="D229" s="146">
        <v>32430</v>
      </c>
      <c r="E229" s="81" t="s">
        <v>214</v>
      </c>
      <c r="F229" s="61">
        <f>IF(ISNA(VLOOKUP($A229,'2 Bridges Relay'!$F$2:$F$67,1,FALSE)),0,VLOOKUP($A229,'2 Bridges Relay'!$F$2:$J$67,5,FALSE))</f>
        <v>0</v>
      </c>
      <c r="G229" s="88">
        <f>IF(ISNA(VLOOKUP($A229,'5M''s'!$D$2:$E$27,1,FALSE)),0,VLOOKUP($A229,'5M''s'!$D$2:$E$27,2,FALSE))</f>
        <v>0</v>
      </c>
      <c r="H229" s="62">
        <f>IF(ISNA(VLOOKUP($A229,'Mile handicap'!$C$2:$C$51,1,FALSE)),0,VLOOKUP($A229,'Mile handicap'!$C$2:$K$51,9,FALSE))</f>
        <v>0</v>
      </c>
      <c r="I229" s="62">
        <f>IF(ISNA(VLOOKUP($A229,'5000m handicap'!$C$2:$C$46,1,FALSE)),0,VLOOKUP($A229,'5000m handicap'!$C$2:$K$46,9,FALSE))</f>
        <v>0</v>
      </c>
      <c r="J229" s="62">
        <f>IF(ISNA(VLOOKUP($A229,'KL handicap'!$C$2:$C$37,1,FALSE)),0,VLOOKUP($A229,'KL handicap'!$C$2:$I$37,7,FALSE))</f>
        <v>0</v>
      </c>
      <c r="K229" s="62">
        <f>IF(ISNA(VLOOKUP($A229,'3000m handicap'!$C$2:$C$47,1,FALSE)),0,VLOOKUP($A229,'3000m handicap'!$C$2:$K$47,9,FALSE))</f>
        <v>0</v>
      </c>
      <c r="L229" s="62">
        <f>IF(ISNA(VLOOKUP($A229,'10 km'!$B$2:$B$50,1,FALSE)),0,VLOOKUP($A229,'10 km'!$B$2:$D$50,3,FALSE))</f>
        <v>0</v>
      </c>
      <c r="M229" s="62">
        <f>IF(ISNA(VLOOKUP($A229,'Peter Moor 2000m'!$C$2:$C$30,1,FALSE)),0,VLOOKUP($A229,'Peter Moor 2000m'!$C$2:$I$30,7,FALSE))</f>
        <v>0</v>
      </c>
      <c r="N229" s="62">
        <f>IF(ISNA(VLOOKUP($A229,'Max Howard Tan handicap'!$C$2:$C$23,1,FALSE)),0,VLOOKUP($A229,'Max Howard Tan handicap'!$C$2:$I$23,7,FALSE))</f>
        <v>0</v>
      </c>
      <c r="O229" s="88">
        <f>IF(ISNA(VLOOKUP($A229,parkrun!$B$2:$H$145,1,FALSE)),0,VLOOKUP($A229,parkrun!$B$2:$H$145,7,FALSE))</f>
        <v>0</v>
      </c>
      <c r="P229" s="133">
        <f>SUM(F229:O229)</f>
        <v>0</v>
      </c>
      <c r="Q229" s="134">
        <f>COUNTIF(F229:O229,"&gt;0")</f>
        <v>0</v>
      </c>
      <c r="R229" s="215">
        <f>SMALL(F229:O229,1)+SMALL(F229:O229,2)</f>
        <v>0</v>
      </c>
      <c r="S229" s="215">
        <f>IF(Q229=1,P229,P229-R229)</f>
        <v>0</v>
      </c>
      <c r="T229" s="216">
        <f>RANK(P229,$P$5:$P$230,0)</f>
        <v>142</v>
      </c>
      <c r="U229" s="26">
        <f>RANK(S229,$S$5:$S$230,0)</f>
        <v>142</v>
      </c>
      <c r="W229" s="113"/>
    </row>
    <row r="230" spans="1:23" x14ac:dyDescent="0.2">
      <c r="A230" s="46"/>
      <c r="B230" s="144"/>
      <c r="C230" s="81"/>
      <c r="D230" s="146"/>
      <c r="E230" s="81"/>
      <c r="F230" s="61"/>
      <c r="G230" s="88"/>
      <c r="H230" s="62"/>
      <c r="I230" s="62"/>
      <c r="J230" s="62"/>
      <c r="K230" s="62"/>
      <c r="L230" s="62"/>
      <c r="M230" s="62"/>
      <c r="N230" s="62"/>
      <c r="O230" s="88"/>
      <c r="P230" s="63"/>
      <c r="Q230" s="71"/>
      <c r="R230" s="64"/>
      <c r="S230" s="64"/>
      <c r="T230" s="25"/>
      <c r="U230" s="26"/>
      <c r="W230" s="113">
        <v>28156</v>
      </c>
    </row>
    <row r="231" spans="1:23" x14ac:dyDescent="0.2">
      <c r="A231" s="46"/>
      <c r="B231" s="144"/>
      <c r="C231" s="144"/>
      <c r="D231" s="144"/>
      <c r="E231" s="82"/>
      <c r="F231" s="47"/>
      <c r="G231" s="89"/>
      <c r="H231" s="48"/>
      <c r="I231" s="48"/>
      <c r="J231" s="55"/>
      <c r="K231" s="48"/>
      <c r="L231" s="48"/>
      <c r="M231" s="48"/>
      <c r="N231" s="55"/>
      <c r="O231" s="118"/>
      <c r="P231" s="49"/>
      <c r="Q231" s="50"/>
      <c r="R231" s="50"/>
      <c r="S231" s="50"/>
      <c r="T231" s="51"/>
      <c r="U231" s="52"/>
    </row>
    <row r="232" spans="1:23" x14ac:dyDescent="0.2">
      <c r="A232" s="40" t="s">
        <v>4</v>
      </c>
      <c r="B232" s="145"/>
      <c r="C232" s="145"/>
      <c r="D232" s="145"/>
      <c r="E232" s="83"/>
      <c r="F232" s="91"/>
      <c r="G232" s="33"/>
      <c r="H232" s="33"/>
      <c r="I232" s="33"/>
      <c r="J232" s="56"/>
      <c r="K232" s="33"/>
      <c r="L232" s="34"/>
      <c r="M232" s="34"/>
      <c r="N232" s="56"/>
      <c r="O232" s="119"/>
      <c r="P232" s="27"/>
      <c r="Q232" s="28"/>
      <c r="R232" s="28"/>
      <c r="S232" s="28"/>
      <c r="T232" s="29"/>
      <c r="U232" s="30"/>
    </row>
    <row r="233" spans="1:23" x14ac:dyDescent="0.2">
      <c r="A233" s="13"/>
      <c r="B233" s="13"/>
      <c r="C233" s="13"/>
      <c r="D233" s="13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4"/>
      <c r="Q233" s="14"/>
      <c r="R233" s="14"/>
      <c r="S233" s="14"/>
      <c r="T233" s="14"/>
      <c r="U233" s="13"/>
    </row>
    <row r="234" spans="1:23" x14ac:dyDescent="0.2">
      <c r="A234" s="106" t="s">
        <v>161</v>
      </c>
      <c r="B234" s="106"/>
      <c r="C234" s="106"/>
      <c r="D234" s="106"/>
      <c r="E234" s="12"/>
      <c r="F234" s="12">
        <f>COUNTIF(F5:F230,"&gt;0")+'Progress points - Female'!F60</f>
        <v>63</v>
      </c>
      <c r="G234" s="12">
        <f>COUNTIF(G5:G230,"&gt;0")+'Progress points - Female'!G60</f>
        <v>23</v>
      </c>
      <c r="H234" s="12">
        <f>COUNTIF(H5:H230,"&gt;0")+'Progress points - Female'!H60</f>
        <v>45</v>
      </c>
      <c r="I234" s="12">
        <f>COUNTIF(I5:I230,"&gt;0")+'Progress points - Female'!I60</f>
        <v>42</v>
      </c>
      <c r="J234" s="12">
        <f>COUNTIF(J5:J230,"&gt;0")+'Progress points - Female'!J60</f>
        <v>32</v>
      </c>
      <c r="K234" s="12">
        <f>COUNTIF(K5:K230,"&gt;0")+'Progress points - Female'!K60</f>
        <v>40</v>
      </c>
      <c r="L234" s="12">
        <f>COUNTIF(L5:L230,"&gt;0")+'Progress points - Female'!L60</f>
        <v>49</v>
      </c>
      <c r="M234" s="12">
        <f>COUNTIF(M5:M230,"&gt;0")+'Progress points - Female'!M60</f>
        <v>24</v>
      </c>
      <c r="N234" s="12">
        <f>COUNTIF(N5:N230,"&gt;0")+'Progress points - Female'!N60</f>
        <v>17</v>
      </c>
      <c r="O234" s="12">
        <f>COUNTIF(O5:O230,"&gt;0")+'Progress points - Female'!O60</f>
        <v>144</v>
      </c>
      <c r="P234" s="14"/>
      <c r="Q234" s="14"/>
      <c r="R234" s="14"/>
      <c r="S234" s="14"/>
      <c r="T234" s="14"/>
      <c r="U234" s="13"/>
    </row>
    <row r="235" spans="1:23" x14ac:dyDescent="0.2">
      <c r="A235" s="106" t="s">
        <v>243</v>
      </c>
      <c r="B235" s="106"/>
      <c r="C235" s="106"/>
      <c r="D235" s="106"/>
      <c r="E235" s="12"/>
      <c r="F235" s="76">
        <f>SUM(F5:F230)+'Progress points - Female'!F61</f>
        <v>4849.9899999999989</v>
      </c>
      <c r="G235" s="76">
        <f>SUM(G5:G230)+'Progress points - Female'!G61</f>
        <v>1870</v>
      </c>
      <c r="H235" s="76">
        <f>SUM(H5:H230)+'Progress points - Female'!H61</f>
        <v>2346.36</v>
      </c>
      <c r="I235" s="76">
        <f>SUM(I5:I230)+'Progress points - Female'!I61</f>
        <v>2200.02</v>
      </c>
      <c r="J235" s="76">
        <f>SUM(J5:J230)+'Progress points - Female'!J61</f>
        <v>1692.8400000000001</v>
      </c>
      <c r="K235" s="76">
        <f>SUM(K5:K230)+'Progress points - Female'!K61</f>
        <v>2111.0999999999995</v>
      </c>
      <c r="L235" s="76">
        <f>SUM(L5:L230)+'Progress points - Female'!L61</f>
        <v>2499.9999999999995</v>
      </c>
      <c r="M235" s="76">
        <f>SUM(M5:M230)+'Progress points - Female'!M61</f>
        <v>1290.9000000000001</v>
      </c>
      <c r="N235" s="76">
        <f>SUM(N5:N230)+'Progress points - Female'!N61</f>
        <v>912.5</v>
      </c>
      <c r="O235" s="76">
        <f>SUM(O5:O230)+'Progress points - Female'!O61</f>
        <v>7255.59</v>
      </c>
      <c r="P235" s="14"/>
      <c r="Q235" s="14"/>
      <c r="R235" s="14"/>
      <c r="S235" s="14"/>
      <c r="T235" s="14"/>
      <c r="U235" s="13"/>
    </row>
    <row r="236" spans="1:23" x14ac:dyDescent="0.2">
      <c r="A236" s="3"/>
      <c r="B236" s="3"/>
      <c r="C236" s="3"/>
      <c r="D236" s="3"/>
      <c r="O236" s="111"/>
    </row>
    <row r="237" spans="1:23" x14ac:dyDescent="0.2">
      <c r="A237" s="97" t="s">
        <v>237</v>
      </c>
      <c r="B237" s="97"/>
      <c r="C237" s="97"/>
      <c r="D237" s="97"/>
      <c r="E237" s="136">
        <f>COUNTA(E5:E230)-E238</f>
        <v>174</v>
      </c>
      <c r="H237" s="136"/>
    </row>
    <row r="238" spans="1:23" x14ac:dyDescent="0.2">
      <c r="A238" s="97" t="s">
        <v>238</v>
      </c>
      <c r="B238" s="97"/>
      <c r="C238" s="97"/>
      <c r="D238" s="97"/>
      <c r="E238" s="136">
        <f>COUNTIF(E5:E230,"50+")</f>
        <v>51</v>
      </c>
      <c r="F238" s="154">
        <f>E238/E239</f>
        <v>0.22666666666666666</v>
      </c>
    </row>
    <row r="239" spans="1:23" x14ac:dyDescent="0.2">
      <c r="A239" s="137"/>
      <c r="B239" s="137"/>
      <c r="C239" s="137"/>
      <c r="D239" s="137"/>
      <c r="E239" s="136">
        <f>SUM(E237:E238)</f>
        <v>225</v>
      </c>
      <c r="H239" s="136"/>
      <c r="I239" s="111"/>
    </row>
    <row r="240" spans="1:23" x14ac:dyDescent="0.2">
      <c r="A240" s="98"/>
      <c r="B240" s="98"/>
      <c r="C240" s="98"/>
      <c r="D240" s="98"/>
      <c r="E240" s="98"/>
    </row>
    <row r="241" spans="1:6" x14ac:dyDescent="0.2">
      <c r="A241" s="97" t="s">
        <v>216</v>
      </c>
      <c r="B241" s="97"/>
      <c r="C241"/>
      <c r="D241"/>
      <c r="E241" s="136">
        <f>+E237+'Progress points - Female'!E63</f>
        <v>222</v>
      </c>
    </row>
    <row r="242" spans="1:6" x14ac:dyDescent="0.2">
      <c r="A242" s="97" t="s">
        <v>215</v>
      </c>
      <c r="B242" s="97"/>
      <c r="C242"/>
      <c r="D242"/>
      <c r="E242" s="136">
        <f>+E238+'Progress points - Female'!E64</f>
        <v>55</v>
      </c>
      <c r="F242" s="154">
        <f>E242/E243</f>
        <v>0.19855595667870035</v>
      </c>
    </row>
    <row r="243" spans="1:6" x14ac:dyDescent="0.2">
      <c r="A243" s="45" t="s">
        <v>239</v>
      </c>
      <c r="B243" s="45"/>
      <c r="C243" s="45"/>
      <c r="D243" s="45"/>
      <c r="E243" s="136">
        <f>E241+E242</f>
        <v>277</v>
      </c>
    </row>
    <row r="244" spans="1:6" x14ac:dyDescent="0.2">
      <c r="A244" s="45"/>
      <c r="B244" s="45"/>
      <c r="C244" s="45"/>
      <c r="D244" s="45"/>
      <c r="E244"/>
    </row>
    <row r="245" spans="1:6" x14ac:dyDescent="0.2">
      <c r="A245" s="45"/>
      <c r="B245" s="45"/>
      <c r="C245" s="45"/>
      <c r="D245" s="45"/>
    </row>
    <row r="246" spans="1:6" x14ac:dyDescent="0.2">
      <c r="A246" s="45"/>
      <c r="B246" s="45"/>
      <c r="C246" s="45"/>
      <c r="D246" s="45"/>
    </row>
    <row r="247" spans="1:6" x14ac:dyDescent="0.2">
      <c r="A247" s="45"/>
      <c r="B247" s="45"/>
      <c r="C247" s="45"/>
      <c r="D247" s="45"/>
    </row>
  </sheetData>
  <sheetProtection algorithmName="SHA-512" hashValue="Fd77eXR7nPyJr6oQJdFzboIAi/+HcyZZeYw1mRtNasL5rtLaMJwnpgbkzR/CxuPU+ufnWM8L/OCcEpisv+iiCQ==" saltValue="/3/1n78F0tdiItc//WqBAw==" spinCount="100000" sheet="1" objects="1" scenarios="1"/>
  <sortState xmlns:xlrd2="http://schemas.microsoft.com/office/spreadsheetml/2017/richdata2" ref="A5:U229">
    <sortCondition ref="U5:U229"/>
    <sortCondition ref="A5:A229"/>
  </sortState>
  <mergeCells count="2">
    <mergeCell ref="Y3:AB3"/>
    <mergeCell ref="AD3:AG3"/>
  </mergeCells>
  <printOptions horizontalCentered="1" verticalCentered="1"/>
  <pageMargins left="0.39370078740157483" right="0.39370078740157483" top="0.32" bottom="0.26" header="0.42" footer="0.23"/>
  <pageSetup paperSize="8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G73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5" max="5" width="24.85546875" customWidth="1"/>
    <col min="6" max="6" width="24.42578125" bestFit="1" customWidth="1"/>
    <col min="7" max="9" width="11.140625" customWidth="1"/>
    <col min="12" max="12" width="4.85546875" hidden="1" customWidth="1"/>
    <col min="14" max="14" width="11.28515625" customWidth="1"/>
    <col min="15" max="15" width="5.7109375" hidden="1" customWidth="1"/>
    <col min="16" max="16" width="23.7109375" customWidth="1"/>
    <col min="17" max="18" width="11.140625" customWidth="1"/>
    <col min="19" max="19" width="8.7109375" customWidth="1"/>
    <col min="20" max="20" width="11.140625" customWidth="1"/>
    <col min="21" max="21" width="5.7109375" hidden="1" customWidth="1"/>
    <col min="22" max="22" width="24.42578125" bestFit="1" customWidth="1"/>
    <col min="23" max="23" width="10.140625" customWidth="1"/>
    <col min="24" max="24" width="10.28515625" hidden="1" customWidth="1"/>
  </cols>
  <sheetData>
    <row r="1" spans="1:33" ht="38.25" customHeight="1" x14ac:dyDescent="0.2">
      <c r="A1" s="165" t="s">
        <v>2</v>
      </c>
      <c r="B1" s="165" t="s">
        <v>284</v>
      </c>
      <c r="C1" s="165" t="s">
        <v>283</v>
      </c>
      <c r="D1" s="165" t="s">
        <v>280</v>
      </c>
      <c r="E1" s="165" t="s">
        <v>27</v>
      </c>
      <c r="F1" s="165" t="s">
        <v>281</v>
      </c>
      <c r="G1" s="165" t="s">
        <v>16</v>
      </c>
      <c r="H1" s="165" t="s">
        <v>282</v>
      </c>
      <c r="I1" s="165" t="s">
        <v>371</v>
      </c>
      <c r="J1" s="165" t="s">
        <v>9</v>
      </c>
      <c r="K1" s="165" t="s">
        <v>117</v>
      </c>
      <c r="L1" s="167" t="s">
        <v>154</v>
      </c>
      <c r="N1" s="159" t="s">
        <v>6</v>
      </c>
      <c r="O1" s="160" t="s">
        <v>154</v>
      </c>
      <c r="P1" s="161" t="s">
        <v>7</v>
      </c>
      <c r="Q1" s="159" t="s">
        <v>19</v>
      </c>
      <c r="R1" s="159" t="s">
        <v>275</v>
      </c>
      <c r="S1" s="151"/>
      <c r="T1" s="162" t="s">
        <v>245</v>
      </c>
      <c r="U1" s="163" t="s">
        <v>154</v>
      </c>
      <c r="V1" s="164" t="s">
        <v>7</v>
      </c>
      <c r="W1" s="163" t="s">
        <v>152</v>
      </c>
      <c r="X1" s="113">
        <v>43509</v>
      </c>
    </row>
    <row r="2" spans="1:33" ht="18" customHeight="1" x14ac:dyDescent="0.2">
      <c r="A2" s="100">
        <v>1</v>
      </c>
      <c r="B2" s="209">
        <v>16</v>
      </c>
      <c r="C2" s="100">
        <v>2</v>
      </c>
      <c r="D2" s="100">
        <v>1</v>
      </c>
      <c r="E2" s="235" t="s">
        <v>317</v>
      </c>
      <c r="F2" s="197" t="s">
        <v>96</v>
      </c>
      <c r="G2" s="101">
        <v>4.6874999999999998E-3</v>
      </c>
      <c r="H2" s="101">
        <v>4.5486111111111109E-3</v>
      </c>
      <c r="I2" s="101">
        <f>IF(H2&lt;G2,G2-H2,H2-G2)</f>
        <v>1.3888888888888892E-4</v>
      </c>
      <c r="J2" s="170">
        <f t="shared" ref="J2:J33" si="0">ROUND(100-((100/(2*$B$63))*(A2-1)),2)</f>
        <v>100</v>
      </c>
      <c r="K2" s="234">
        <f>SUM(H2:H5)</f>
        <v>1.9189814814814812E-2</v>
      </c>
      <c r="L2" s="43">
        <f>DATEDIF(X2,$X$1,"y")</f>
        <v>37</v>
      </c>
      <c r="M2" s="13"/>
      <c r="N2" s="43">
        <f t="shared" ref="N2:N33" si="1">RANK(Q2,$Q$2:$Q$61,1)</f>
        <v>1</v>
      </c>
      <c r="O2" s="43">
        <v>33</v>
      </c>
      <c r="P2" s="68" t="s">
        <v>137</v>
      </c>
      <c r="Q2" s="101">
        <v>3.9814814814814817E-3</v>
      </c>
      <c r="R2" s="92">
        <f t="shared" ref="R2:R33" si="2">Q2/2</f>
        <v>1.9907407407407408E-3</v>
      </c>
      <c r="S2" s="152"/>
      <c r="T2" s="43">
        <f t="shared" ref="T2:T33" si="3">RANK(W2,$W$2:$W$61,0)</f>
        <v>1</v>
      </c>
      <c r="U2" s="43">
        <v>35</v>
      </c>
      <c r="V2" s="72" t="s">
        <v>182</v>
      </c>
      <c r="W2" s="150">
        <v>0.83379999999999999</v>
      </c>
      <c r="X2" s="113">
        <v>29729</v>
      </c>
      <c r="Y2" s="13"/>
      <c r="Z2" s="124"/>
      <c r="AF2" s="109"/>
      <c r="AG2" s="124"/>
    </row>
    <row r="3" spans="1:33" ht="18" customHeight="1" x14ac:dyDescent="0.2">
      <c r="A3" s="102">
        <v>1</v>
      </c>
      <c r="B3" s="210">
        <v>46</v>
      </c>
      <c r="C3" s="102">
        <v>4</v>
      </c>
      <c r="D3" s="102">
        <v>2</v>
      </c>
      <c r="E3" s="236"/>
      <c r="F3" s="198" t="s">
        <v>73</v>
      </c>
      <c r="G3" s="103">
        <v>5.2893518518518515E-3</v>
      </c>
      <c r="H3" s="103">
        <v>5.0925925925925921E-3</v>
      </c>
      <c r="I3" s="103">
        <f t="shared" ref="I3:I61" si="4">IF(H3&lt;G3,G3-H3,H3-G3)</f>
        <v>1.9675925925925937E-4</v>
      </c>
      <c r="J3" s="171">
        <f t="shared" si="0"/>
        <v>100</v>
      </c>
      <c r="K3" s="234"/>
      <c r="L3" s="43">
        <f t="shared" ref="L3:L61" si="5">DATEDIF(X3,$X$1,"y")</f>
        <v>36</v>
      </c>
      <c r="M3" s="13"/>
      <c r="N3" s="43">
        <f t="shared" si="1"/>
        <v>2</v>
      </c>
      <c r="O3" s="43">
        <v>35</v>
      </c>
      <c r="P3" s="72" t="s">
        <v>182</v>
      </c>
      <c r="Q3" s="101">
        <v>4.0162037037037033E-3</v>
      </c>
      <c r="R3" s="92">
        <f t="shared" si="2"/>
        <v>2.0081018518518516E-3</v>
      </c>
      <c r="S3" s="152"/>
      <c r="T3" s="43">
        <f t="shared" si="3"/>
        <v>2</v>
      </c>
      <c r="U3" s="43">
        <v>33</v>
      </c>
      <c r="V3" s="72" t="s">
        <v>137</v>
      </c>
      <c r="W3" s="150">
        <v>0.83279999999999998</v>
      </c>
      <c r="X3" s="113">
        <v>30146</v>
      </c>
      <c r="Y3" s="13"/>
      <c r="Z3" s="124"/>
      <c r="AF3" s="109"/>
      <c r="AG3" s="124"/>
    </row>
    <row r="4" spans="1:33" ht="18" customHeight="1" x14ac:dyDescent="0.2">
      <c r="A4" s="102">
        <v>1</v>
      </c>
      <c r="B4" s="210">
        <v>45</v>
      </c>
      <c r="C4" s="102">
        <v>3</v>
      </c>
      <c r="D4" s="102">
        <v>3</v>
      </c>
      <c r="E4" s="236"/>
      <c r="F4" s="198" t="s">
        <v>89</v>
      </c>
      <c r="G4" s="103">
        <v>5.2430555555555555E-3</v>
      </c>
      <c r="H4" s="103">
        <v>4.8842592592592592E-3</v>
      </c>
      <c r="I4" s="103">
        <f t="shared" si="4"/>
        <v>3.5879629629629629E-4</v>
      </c>
      <c r="J4" s="171">
        <f t="shared" si="0"/>
        <v>100</v>
      </c>
      <c r="K4" s="234"/>
      <c r="L4" s="43">
        <f t="shared" si="5"/>
        <v>44</v>
      </c>
      <c r="M4" s="13"/>
      <c r="N4" s="43">
        <f t="shared" si="1"/>
        <v>3</v>
      </c>
      <c r="O4" s="43">
        <v>35</v>
      </c>
      <c r="P4" s="68" t="s">
        <v>145</v>
      </c>
      <c r="Q4" s="101">
        <v>4.2939814814814811E-3</v>
      </c>
      <c r="R4" s="92">
        <f t="shared" si="2"/>
        <v>2.1469907407407405E-3</v>
      </c>
      <c r="S4" s="152"/>
      <c r="T4" s="43">
        <f t="shared" si="3"/>
        <v>3</v>
      </c>
      <c r="U4" s="43">
        <v>43</v>
      </c>
      <c r="V4" s="72" t="s">
        <v>327</v>
      </c>
      <c r="W4" s="150">
        <v>0.83130000000000004</v>
      </c>
      <c r="X4" s="113">
        <v>27413</v>
      </c>
      <c r="Y4" s="13"/>
      <c r="Z4" s="124"/>
      <c r="AF4" s="109"/>
      <c r="AG4" s="124"/>
    </row>
    <row r="5" spans="1:33" ht="18" customHeight="1" x14ac:dyDescent="0.2">
      <c r="A5" s="104">
        <v>1</v>
      </c>
      <c r="B5" s="211">
        <v>15</v>
      </c>
      <c r="C5" s="104">
        <v>1</v>
      </c>
      <c r="D5" s="104">
        <v>4</v>
      </c>
      <c r="E5" s="237"/>
      <c r="F5" s="199" t="s">
        <v>48</v>
      </c>
      <c r="G5" s="105">
        <v>4.6527777777777774E-3</v>
      </c>
      <c r="H5" s="105">
        <v>4.6643518518518518E-3</v>
      </c>
      <c r="I5" s="105">
        <f t="shared" si="4"/>
        <v>1.1574074074074438E-5</v>
      </c>
      <c r="J5" s="172">
        <f t="shared" si="0"/>
        <v>100</v>
      </c>
      <c r="K5" s="234"/>
      <c r="L5" s="43">
        <f t="shared" si="5"/>
        <v>44</v>
      </c>
      <c r="M5" s="13"/>
      <c r="N5" s="43">
        <f t="shared" si="1"/>
        <v>4</v>
      </c>
      <c r="O5" s="43">
        <v>41</v>
      </c>
      <c r="P5" s="68" t="s">
        <v>74</v>
      </c>
      <c r="Q5" s="101">
        <v>4.4212962962962956E-3</v>
      </c>
      <c r="R5" s="92">
        <f t="shared" si="2"/>
        <v>2.2106481481481478E-3</v>
      </c>
      <c r="S5" s="152"/>
      <c r="T5" s="43">
        <f t="shared" si="3"/>
        <v>4</v>
      </c>
      <c r="U5" s="43">
        <v>47</v>
      </c>
      <c r="V5" s="72" t="s">
        <v>343</v>
      </c>
      <c r="W5" s="150">
        <v>0.81889999999999996</v>
      </c>
      <c r="X5" s="113">
        <v>27080</v>
      </c>
      <c r="Y5" s="13"/>
      <c r="Z5" s="124"/>
      <c r="AF5" s="109"/>
      <c r="AG5" s="124"/>
    </row>
    <row r="6" spans="1:33" ht="18" customHeight="1" x14ac:dyDescent="0.2">
      <c r="A6" s="100">
        <v>2</v>
      </c>
      <c r="B6" s="209">
        <v>48</v>
      </c>
      <c r="C6" s="100">
        <v>1</v>
      </c>
      <c r="D6" s="100">
        <v>1</v>
      </c>
      <c r="E6" s="235" t="s">
        <v>319</v>
      </c>
      <c r="F6" s="200" t="s">
        <v>82</v>
      </c>
      <c r="G6" s="101">
        <v>4.6180555555555558E-3</v>
      </c>
      <c r="H6" s="101">
        <v>4.5254629629629629E-3</v>
      </c>
      <c r="I6" s="101">
        <f t="shared" si="4"/>
        <v>9.25925925925929E-5</v>
      </c>
      <c r="J6" s="170">
        <f t="shared" si="0"/>
        <v>96.67</v>
      </c>
      <c r="K6" s="234">
        <f>SUM(H6:H9)</f>
        <v>1.9409722222222224E-2</v>
      </c>
      <c r="L6" s="43">
        <f t="shared" si="5"/>
        <v>46</v>
      </c>
      <c r="M6" s="13"/>
      <c r="N6" s="43">
        <f t="shared" si="1"/>
        <v>4</v>
      </c>
      <c r="O6" s="43">
        <v>40</v>
      </c>
      <c r="P6" s="72" t="s">
        <v>45</v>
      </c>
      <c r="Q6" s="101">
        <v>4.4212962962962956E-3</v>
      </c>
      <c r="R6" s="92">
        <f t="shared" si="2"/>
        <v>2.2106481481481478E-3</v>
      </c>
      <c r="S6" s="152"/>
      <c r="T6" s="43">
        <f t="shared" si="3"/>
        <v>5</v>
      </c>
      <c r="U6" s="43">
        <v>64</v>
      </c>
      <c r="V6" s="72" t="s">
        <v>125</v>
      </c>
      <c r="W6" s="150">
        <v>0.81089999999999995</v>
      </c>
      <c r="X6" s="113">
        <v>26440</v>
      </c>
      <c r="Y6" s="13"/>
      <c r="Z6" s="124"/>
      <c r="AF6" s="109"/>
      <c r="AG6" s="124"/>
    </row>
    <row r="7" spans="1:33" ht="18" customHeight="1" x14ac:dyDescent="0.2">
      <c r="A7" s="102">
        <v>2</v>
      </c>
      <c r="B7" s="210">
        <v>18</v>
      </c>
      <c r="C7" s="102">
        <v>2</v>
      </c>
      <c r="D7" s="102">
        <v>2</v>
      </c>
      <c r="E7" s="236"/>
      <c r="F7" s="201" t="s">
        <v>107</v>
      </c>
      <c r="G7" s="103">
        <v>4.7106481481481478E-3</v>
      </c>
      <c r="H7" s="103">
        <v>4.7916666666666672E-3</v>
      </c>
      <c r="I7" s="103">
        <f t="shared" si="4"/>
        <v>8.1018518518519329E-5</v>
      </c>
      <c r="J7" s="171">
        <f t="shared" si="0"/>
        <v>96.67</v>
      </c>
      <c r="K7" s="234"/>
      <c r="L7" s="43">
        <f t="shared" si="5"/>
        <v>53</v>
      </c>
      <c r="M7" s="13"/>
      <c r="N7" s="43">
        <f t="shared" si="1"/>
        <v>4</v>
      </c>
      <c r="O7" s="43">
        <v>44</v>
      </c>
      <c r="P7" s="68" t="s">
        <v>85</v>
      </c>
      <c r="Q7" s="101">
        <v>4.4212962962962956E-3</v>
      </c>
      <c r="R7" s="92">
        <f t="shared" si="2"/>
        <v>2.2106481481481478E-3</v>
      </c>
      <c r="S7" s="152"/>
      <c r="T7" s="43">
        <f t="shared" si="3"/>
        <v>6</v>
      </c>
      <c r="U7" s="43">
        <v>44</v>
      </c>
      <c r="V7" s="72" t="s">
        <v>85</v>
      </c>
      <c r="W7" s="150">
        <v>0.80859999999999999</v>
      </c>
      <c r="X7" s="113">
        <v>24057</v>
      </c>
      <c r="Y7" s="13"/>
      <c r="Z7" s="124"/>
      <c r="AF7" s="109"/>
      <c r="AG7" s="124"/>
    </row>
    <row r="8" spans="1:33" ht="18" customHeight="1" x14ac:dyDescent="0.2">
      <c r="A8" s="102">
        <v>2</v>
      </c>
      <c r="B8" s="210">
        <v>39</v>
      </c>
      <c r="C8" s="102">
        <v>3</v>
      </c>
      <c r="D8" s="102">
        <v>3</v>
      </c>
      <c r="E8" s="236"/>
      <c r="F8" s="201" t="s">
        <v>90</v>
      </c>
      <c r="G8" s="103">
        <v>5.1041666666666666E-3</v>
      </c>
      <c r="H8" s="103">
        <v>5.0115740740740737E-3</v>
      </c>
      <c r="I8" s="103">
        <f t="shared" si="4"/>
        <v>9.25925925925929E-5</v>
      </c>
      <c r="J8" s="171">
        <f t="shared" si="0"/>
        <v>96.67</v>
      </c>
      <c r="K8" s="234"/>
      <c r="L8" s="43">
        <f t="shared" si="5"/>
        <v>41</v>
      </c>
      <c r="M8" s="13"/>
      <c r="N8" s="43">
        <f t="shared" si="1"/>
        <v>7</v>
      </c>
      <c r="O8" s="43">
        <v>44</v>
      </c>
      <c r="P8" s="72" t="s">
        <v>32</v>
      </c>
      <c r="Q8" s="101">
        <v>4.4560185185185189E-3</v>
      </c>
      <c r="R8" s="92">
        <f t="shared" si="2"/>
        <v>2.2280092592592594E-3</v>
      </c>
      <c r="S8" s="152"/>
      <c r="T8" s="43">
        <f t="shared" si="3"/>
        <v>7</v>
      </c>
      <c r="U8" s="43">
        <v>48</v>
      </c>
      <c r="V8" s="72" t="s">
        <v>208</v>
      </c>
      <c r="W8" s="150">
        <v>0.80459999999999998</v>
      </c>
      <c r="X8" s="113">
        <v>28320</v>
      </c>
      <c r="Y8" s="13"/>
      <c r="Z8" s="124"/>
      <c r="AF8" s="109"/>
      <c r="AG8" s="124"/>
    </row>
    <row r="9" spans="1:33" ht="18" customHeight="1" x14ac:dyDescent="0.2">
      <c r="A9" s="104">
        <v>2</v>
      </c>
      <c r="B9" s="211">
        <v>13</v>
      </c>
      <c r="C9" s="104">
        <v>4</v>
      </c>
      <c r="D9" s="104">
        <v>4</v>
      </c>
      <c r="E9" s="237"/>
      <c r="F9" s="202" t="s">
        <v>318</v>
      </c>
      <c r="G9" s="105">
        <v>5.3125000000000004E-3</v>
      </c>
      <c r="H9" s="105">
        <v>5.0810185185185186E-3</v>
      </c>
      <c r="I9" s="105">
        <f t="shared" si="4"/>
        <v>2.3148148148148182E-4</v>
      </c>
      <c r="J9" s="172">
        <f t="shared" si="0"/>
        <v>96.67</v>
      </c>
      <c r="K9" s="234"/>
      <c r="L9" s="43">
        <f t="shared" si="5"/>
        <v>44</v>
      </c>
      <c r="M9" s="13"/>
      <c r="N9" s="43">
        <f t="shared" si="1"/>
        <v>8</v>
      </c>
      <c r="O9" s="43">
        <v>47</v>
      </c>
      <c r="P9" s="68" t="s">
        <v>343</v>
      </c>
      <c r="Q9" s="101">
        <v>4.4675925925925933E-3</v>
      </c>
      <c r="R9" s="92">
        <f t="shared" si="2"/>
        <v>2.2337962962962967E-3</v>
      </c>
      <c r="S9" s="152"/>
      <c r="T9" s="43">
        <f t="shared" si="3"/>
        <v>8</v>
      </c>
      <c r="U9" s="73">
        <v>52</v>
      </c>
      <c r="V9" s="72" t="s">
        <v>37</v>
      </c>
      <c r="W9" s="150">
        <v>0.80259999999999998</v>
      </c>
      <c r="X9" s="113">
        <v>27341</v>
      </c>
      <c r="Y9" s="13"/>
      <c r="Z9" s="124"/>
      <c r="AF9" s="109"/>
      <c r="AG9" s="124"/>
    </row>
    <row r="10" spans="1:33" ht="18" customHeight="1" x14ac:dyDescent="0.2">
      <c r="A10" s="100">
        <v>3</v>
      </c>
      <c r="B10" s="209">
        <v>19</v>
      </c>
      <c r="C10" s="100">
        <v>2</v>
      </c>
      <c r="D10" s="100">
        <v>1</v>
      </c>
      <c r="E10" s="235" t="s">
        <v>320</v>
      </c>
      <c r="F10" s="200" t="s">
        <v>224</v>
      </c>
      <c r="G10" s="101">
        <v>4.7453703703703703E-3</v>
      </c>
      <c r="H10" s="101">
        <v>4.4907407407407405E-3</v>
      </c>
      <c r="I10" s="101">
        <f t="shared" si="4"/>
        <v>2.5462962962962982E-4</v>
      </c>
      <c r="J10" s="170">
        <f t="shared" si="0"/>
        <v>93.33</v>
      </c>
      <c r="K10" s="234">
        <f>SUM(H10:H13)</f>
        <v>1.9444444444444445E-2</v>
      </c>
      <c r="L10" s="43">
        <f t="shared" si="5"/>
        <v>38</v>
      </c>
      <c r="M10" s="13"/>
      <c r="N10" s="43">
        <f t="shared" si="1"/>
        <v>9</v>
      </c>
      <c r="O10" s="43">
        <v>38</v>
      </c>
      <c r="P10" s="68" t="s">
        <v>224</v>
      </c>
      <c r="Q10" s="101">
        <v>4.4907407407407405E-3</v>
      </c>
      <c r="R10" s="92">
        <f t="shared" si="2"/>
        <v>2.2453703703703702E-3</v>
      </c>
      <c r="S10" s="152"/>
      <c r="T10" s="43">
        <f t="shared" si="3"/>
        <v>9</v>
      </c>
      <c r="U10" s="43">
        <v>44</v>
      </c>
      <c r="V10" s="72" t="s">
        <v>32</v>
      </c>
      <c r="W10" s="150">
        <v>0.80230000000000001</v>
      </c>
      <c r="X10" s="113">
        <v>29335</v>
      </c>
      <c r="Y10" s="13"/>
      <c r="Z10" s="124"/>
      <c r="AB10" s="13"/>
      <c r="AF10" s="109"/>
      <c r="AG10" s="124"/>
    </row>
    <row r="11" spans="1:33" ht="18" customHeight="1" x14ac:dyDescent="0.2">
      <c r="A11" s="102">
        <v>3</v>
      </c>
      <c r="B11" s="210">
        <v>42</v>
      </c>
      <c r="C11" s="102">
        <v>3</v>
      </c>
      <c r="D11" s="102">
        <v>2</v>
      </c>
      <c r="E11" s="238"/>
      <c r="F11" s="201" t="s">
        <v>259</v>
      </c>
      <c r="G11" s="103">
        <v>5.185185185185185E-3</v>
      </c>
      <c r="H11" s="103">
        <v>5.1041666666666666E-3</v>
      </c>
      <c r="I11" s="103">
        <f t="shared" si="4"/>
        <v>8.1018518518518462E-5</v>
      </c>
      <c r="J11" s="171">
        <f t="shared" si="0"/>
        <v>93.33</v>
      </c>
      <c r="K11" s="234"/>
      <c r="L11" s="43">
        <f t="shared" si="5"/>
        <v>47</v>
      </c>
      <c r="M11" s="13"/>
      <c r="N11" s="43">
        <f t="shared" si="1"/>
        <v>10</v>
      </c>
      <c r="O11" s="43">
        <v>44</v>
      </c>
      <c r="P11" s="68" t="s">
        <v>82</v>
      </c>
      <c r="Q11" s="101">
        <v>4.5254629629629629E-3</v>
      </c>
      <c r="R11" s="92">
        <f t="shared" si="2"/>
        <v>2.2627314814814815E-3</v>
      </c>
      <c r="S11" s="152"/>
      <c r="T11" s="43">
        <f t="shared" si="3"/>
        <v>10</v>
      </c>
      <c r="U11" s="43">
        <v>53</v>
      </c>
      <c r="V11" s="72" t="s">
        <v>107</v>
      </c>
      <c r="W11" s="150">
        <v>0.8014</v>
      </c>
      <c r="X11" s="113">
        <v>26101</v>
      </c>
      <c r="Y11" s="13"/>
      <c r="Z11" s="124"/>
      <c r="AF11" s="109"/>
      <c r="AG11" s="124"/>
    </row>
    <row r="12" spans="1:33" ht="18" customHeight="1" x14ac:dyDescent="0.2">
      <c r="A12" s="102">
        <v>3</v>
      </c>
      <c r="B12" s="210">
        <v>49</v>
      </c>
      <c r="C12" s="102">
        <v>4</v>
      </c>
      <c r="D12" s="102">
        <v>3</v>
      </c>
      <c r="E12" s="238"/>
      <c r="F12" s="201" t="s">
        <v>321</v>
      </c>
      <c r="G12" s="103">
        <v>5.3240740740740748E-3</v>
      </c>
      <c r="H12" s="103">
        <v>5.1041666666666666E-3</v>
      </c>
      <c r="I12" s="103">
        <f t="shared" si="4"/>
        <v>2.1990740740740825E-4</v>
      </c>
      <c r="J12" s="171">
        <f t="shared" si="0"/>
        <v>93.33</v>
      </c>
      <c r="K12" s="234"/>
      <c r="L12" s="43">
        <f t="shared" si="5"/>
        <v>39</v>
      </c>
      <c r="M12" s="13"/>
      <c r="N12" s="43">
        <f t="shared" si="1"/>
        <v>11</v>
      </c>
      <c r="O12" s="43">
        <v>37</v>
      </c>
      <c r="P12" s="72" t="s">
        <v>96</v>
      </c>
      <c r="Q12" s="101">
        <v>4.5486111111111109E-3</v>
      </c>
      <c r="R12" s="92">
        <f t="shared" si="2"/>
        <v>2.2743055555555555E-3</v>
      </c>
      <c r="S12" s="152"/>
      <c r="T12" s="43">
        <f t="shared" si="3"/>
        <v>11</v>
      </c>
      <c r="U12" s="43">
        <v>56</v>
      </c>
      <c r="V12" s="72" t="s">
        <v>97</v>
      </c>
      <c r="W12" s="150">
        <v>0.79679999999999995</v>
      </c>
      <c r="X12" s="113">
        <v>29064</v>
      </c>
      <c r="Y12" s="13"/>
      <c r="Z12" s="124"/>
      <c r="AF12" s="109"/>
      <c r="AG12" s="124"/>
    </row>
    <row r="13" spans="1:33" ht="18" customHeight="1" x14ac:dyDescent="0.2">
      <c r="A13" s="104">
        <v>3</v>
      </c>
      <c r="B13" s="211">
        <v>12</v>
      </c>
      <c r="C13" s="104">
        <v>1</v>
      </c>
      <c r="D13" s="104">
        <v>4</v>
      </c>
      <c r="E13" s="239"/>
      <c r="F13" s="202" t="s">
        <v>37</v>
      </c>
      <c r="G13" s="105">
        <v>4.6064814814814814E-3</v>
      </c>
      <c r="H13" s="105">
        <v>4.7453703703703703E-3</v>
      </c>
      <c r="I13" s="105">
        <f t="shared" si="4"/>
        <v>1.3888888888888892E-4</v>
      </c>
      <c r="J13" s="172">
        <f t="shared" si="0"/>
        <v>93.33</v>
      </c>
      <c r="K13" s="234"/>
      <c r="L13" s="43">
        <f t="shared" si="5"/>
        <v>52</v>
      </c>
      <c r="M13" s="13"/>
      <c r="N13" s="43">
        <f t="shared" si="1"/>
        <v>12</v>
      </c>
      <c r="O13" s="43">
        <v>41</v>
      </c>
      <c r="P13" s="68" t="s">
        <v>172</v>
      </c>
      <c r="Q13" s="101">
        <v>4.5601851851851853E-3</v>
      </c>
      <c r="R13" s="92">
        <f t="shared" si="2"/>
        <v>2.2800925925925927E-3</v>
      </c>
      <c r="S13" s="152"/>
      <c r="T13" s="43">
        <f t="shared" si="3"/>
        <v>12</v>
      </c>
      <c r="U13" s="43">
        <v>48</v>
      </c>
      <c r="V13" s="72" t="s">
        <v>60</v>
      </c>
      <c r="W13" s="150">
        <v>0.79459999999999997</v>
      </c>
      <c r="X13" s="113">
        <v>24230</v>
      </c>
      <c r="Y13" s="13"/>
      <c r="Z13" s="124"/>
      <c r="AF13" s="109"/>
      <c r="AG13" s="124"/>
    </row>
    <row r="14" spans="1:33" ht="18" customHeight="1" x14ac:dyDescent="0.2">
      <c r="A14" s="100">
        <v>4</v>
      </c>
      <c r="B14" s="209">
        <v>37</v>
      </c>
      <c r="C14" s="100">
        <v>3</v>
      </c>
      <c r="D14" s="100">
        <v>1</v>
      </c>
      <c r="E14" s="235" t="s">
        <v>322</v>
      </c>
      <c r="F14" s="200" t="s">
        <v>105</v>
      </c>
      <c r="G14" s="101">
        <v>5.0925925925925921E-3</v>
      </c>
      <c r="H14" s="101">
        <v>4.9652777777777777E-3</v>
      </c>
      <c r="I14" s="101">
        <f t="shared" si="4"/>
        <v>1.2731481481481448E-4</v>
      </c>
      <c r="J14" s="170">
        <f t="shared" si="0"/>
        <v>90</v>
      </c>
      <c r="K14" s="234">
        <f>SUM(H14:H17)</f>
        <v>1.9479166666666665E-2</v>
      </c>
      <c r="L14" s="43">
        <f t="shared" si="5"/>
        <v>40</v>
      </c>
      <c r="M14" s="13"/>
      <c r="N14" s="43">
        <f t="shared" si="1"/>
        <v>13</v>
      </c>
      <c r="O14" s="43">
        <v>48</v>
      </c>
      <c r="P14" s="68" t="s">
        <v>208</v>
      </c>
      <c r="Q14" s="101">
        <v>4.5833333333333334E-3</v>
      </c>
      <c r="R14" s="92">
        <f t="shared" si="2"/>
        <v>2.2916666666666667E-3</v>
      </c>
      <c r="S14" s="152"/>
      <c r="T14" s="43">
        <f t="shared" si="3"/>
        <v>13</v>
      </c>
      <c r="U14" s="43">
        <v>47</v>
      </c>
      <c r="V14" s="72" t="s">
        <v>323</v>
      </c>
      <c r="W14" s="150">
        <v>0.79430000000000001</v>
      </c>
      <c r="X14" s="113">
        <v>28607</v>
      </c>
      <c r="Y14" s="13"/>
      <c r="Z14" s="124"/>
      <c r="AF14" s="109"/>
      <c r="AG14" s="124"/>
    </row>
    <row r="15" spans="1:33" ht="18" customHeight="1" x14ac:dyDescent="0.2">
      <c r="A15" s="102">
        <v>4</v>
      </c>
      <c r="B15" s="210">
        <v>54</v>
      </c>
      <c r="C15" s="102">
        <v>4</v>
      </c>
      <c r="D15" s="102">
        <v>2</v>
      </c>
      <c r="E15" s="238"/>
      <c r="F15" s="201" t="s">
        <v>41</v>
      </c>
      <c r="G15" s="103">
        <v>5.4513888888888884E-3</v>
      </c>
      <c r="H15" s="103">
        <v>5.347222222222222E-3</v>
      </c>
      <c r="I15" s="103">
        <f t="shared" si="4"/>
        <v>1.0416666666666647E-4</v>
      </c>
      <c r="J15" s="171">
        <f t="shared" si="0"/>
        <v>90</v>
      </c>
      <c r="K15" s="234"/>
      <c r="L15" s="43">
        <f t="shared" si="5"/>
        <v>52</v>
      </c>
      <c r="M15" s="13"/>
      <c r="N15" s="43">
        <f t="shared" si="1"/>
        <v>13</v>
      </c>
      <c r="O15" s="43">
        <v>43</v>
      </c>
      <c r="P15" s="72" t="s">
        <v>127</v>
      </c>
      <c r="Q15" s="101">
        <v>4.5833333333333334E-3</v>
      </c>
      <c r="R15" s="92">
        <f t="shared" si="2"/>
        <v>2.2916666666666667E-3</v>
      </c>
      <c r="S15" s="152"/>
      <c r="T15" s="43">
        <f t="shared" si="3"/>
        <v>14</v>
      </c>
      <c r="U15" s="43">
        <v>41</v>
      </c>
      <c r="V15" s="72" t="s">
        <v>74</v>
      </c>
      <c r="W15" s="150">
        <v>0.79039999999999999</v>
      </c>
      <c r="X15" s="113">
        <v>24391</v>
      </c>
      <c r="Y15" s="13"/>
      <c r="Z15" s="124"/>
      <c r="AF15" s="109"/>
      <c r="AG15" s="124"/>
    </row>
    <row r="16" spans="1:33" ht="18" customHeight="1" x14ac:dyDescent="0.2">
      <c r="A16" s="102">
        <v>4</v>
      </c>
      <c r="B16" s="210">
        <v>26</v>
      </c>
      <c r="C16" s="102">
        <v>2</v>
      </c>
      <c r="D16" s="102">
        <v>3</v>
      </c>
      <c r="E16" s="238"/>
      <c r="F16" s="201" t="s">
        <v>191</v>
      </c>
      <c r="G16" s="103">
        <v>4.9652777777777777E-3</v>
      </c>
      <c r="H16" s="103">
        <v>4.7453703703703703E-3</v>
      </c>
      <c r="I16" s="103">
        <f t="shared" si="4"/>
        <v>2.1990740740740738E-4</v>
      </c>
      <c r="J16" s="171">
        <f t="shared" si="0"/>
        <v>90</v>
      </c>
      <c r="K16" s="234"/>
      <c r="L16" s="43">
        <f t="shared" si="5"/>
        <v>36</v>
      </c>
      <c r="M16" s="13"/>
      <c r="N16" s="43">
        <f t="shared" si="1"/>
        <v>15</v>
      </c>
      <c r="O16" s="43">
        <v>47</v>
      </c>
      <c r="P16" s="68" t="s">
        <v>323</v>
      </c>
      <c r="Q16" s="101">
        <v>4.6064814814814814E-3</v>
      </c>
      <c r="R16" s="92">
        <f t="shared" si="2"/>
        <v>2.3032407407407407E-3</v>
      </c>
      <c r="S16" s="152"/>
      <c r="T16" s="43">
        <f t="shared" si="3"/>
        <v>15</v>
      </c>
      <c r="U16" s="43">
        <v>54</v>
      </c>
      <c r="V16" s="72" t="s">
        <v>337</v>
      </c>
      <c r="W16" s="150">
        <v>0.7903</v>
      </c>
      <c r="X16" s="113">
        <v>30234</v>
      </c>
      <c r="Y16" s="13"/>
      <c r="Z16" s="124"/>
      <c r="AF16" s="109"/>
      <c r="AG16" s="124"/>
    </row>
    <row r="17" spans="1:33" ht="18" customHeight="1" x14ac:dyDescent="0.2">
      <c r="A17" s="104">
        <v>4</v>
      </c>
      <c r="B17" s="211">
        <v>7</v>
      </c>
      <c r="C17" s="104">
        <v>1</v>
      </c>
      <c r="D17" s="104">
        <v>4</v>
      </c>
      <c r="E17" s="239"/>
      <c r="F17" s="202" t="s">
        <v>74</v>
      </c>
      <c r="G17" s="105">
        <v>4.3981481481481484E-3</v>
      </c>
      <c r="H17" s="105">
        <v>4.4212962962962956E-3</v>
      </c>
      <c r="I17" s="105">
        <f t="shared" si="4"/>
        <v>2.3148148148147141E-5</v>
      </c>
      <c r="J17" s="172">
        <f t="shared" si="0"/>
        <v>90</v>
      </c>
      <c r="K17" s="234"/>
      <c r="L17" s="43">
        <f t="shared" si="5"/>
        <v>41</v>
      </c>
      <c r="M17" s="13"/>
      <c r="N17" s="43">
        <f t="shared" si="1"/>
        <v>16</v>
      </c>
      <c r="O17" s="43">
        <v>26</v>
      </c>
      <c r="P17" s="68" t="s">
        <v>260</v>
      </c>
      <c r="Q17" s="101">
        <v>4.6296296296296302E-3</v>
      </c>
      <c r="R17" s="92">
        <f t="shared" si="2"/>
        <v>2.3148148148148151E-3</v>
      </c>
      <c r="S17" s="152"/>
      <c r="T17" s="43">
        <f t="shared" si="3"/>
        <v>16</v>
      </c>
      <c r="U17" s="43">
        <v>44</v>
      </c>
      <c r="V17" s="72" t="s">
        <v>82</v>
      </c>
      <c r="W17" s="150">
        <v>0.79</v>
      </c>
      <c r="X17" s="113">
        <v>28179</v>
      </c>
      <c r="Y17" s="13"/>
      <c r="Z17" s="124"/>
      <c r="AF17" s="109"/>
      <c r="AG17" s="124"/>
    </row>
    <row r="18" spans="1:33" ht="18" customHeight="1" x14ac:dyDescent="0.2">
      <c r="A18" s="100">
        <v>5</v>
      </c>
      <c r="B18" s="209">
        <v>22</v>
      </c>
      <c r="C18" s="100">
        <v>2</v>
      </c>
      <c r="D18" s="100">
        <v>1</v>
      </c>
      <c r="E18" s="235" t="s">
        <v>324</v>
      </c>
      <c r="F18" s="200" t="s">
        <v>323</v>
      </c>
      <c r="G18" s="101">
        <v>4.8148148148148152E-3</v>
      </c>
      <c r="H18" s="101">
        <v>4.6064814814814814E-3</v>
      </c>
      <c r="I18" s="101">
        <f t="shared" si="4"/>
        <v>2.0833333333333381E-4</v>
      </c>
      <c r="J18" s="170">
        <f t="shared" si="0"/>
        <v>86.67</v>
      </c>
      <c r="K18" s="234">
        <f>SUM(H18:H21)</f>
        <v>1.9502314814814813E-2</v>
      </c>
      <c r="L18" s="43">
        <f t="shared" si="5"/>
        <v>47</v>
      </c>
      <c r="M18" s="13"/>
      <c r="N18" s="43">
        <f t="shared" si="1"/>
        <v>17</v>
      </c>
      <c r="O18" s="43">
        <v>48</v>
      </c>
      <c r="P18" s="68" t="s">
        <v>60</v>
      </c>
      <c r="Q18" s="101">
        <v>4.6412037037037038E-3</v>
      </c>
      <c r="R18" s="92">
        <f t="shared" si="2"/>
        <v>2.3206018518518519E-3</v>
      </c>
      <c r="S18" s="152"/>
      <c r="T18" s="43">
        <f t="shared" si="3"/>
        <v>17</v>
      </c>
      <c r="U18" s="73">
        <v>42</v>
      </c>
      <c r="V18" s="72" t="s">
        <v>116</v>
      </c>
      <c r="W18" s="150">
        <v>0.78820000000000001</v>
      </c>
      <c r="X18" s="113">
        <v>26125</v>
      </c>
      <c r="Y18" s="13"/>
      <c r="Z18" s="124"/>
      <c r="AF18" s="109"/>
      <c r="AG18" s="124"/>
    </row>
    <row r="19" spans="1:33" ht="18" customHeight="1" x14ac:dyDescent="0.2">
      <c r="A19" s="102">
        <v>5</v>
      </c>
      <c r="B19" s="210">
        <v>51</v>
      </c>
      <c r="C19" s="102">
        <v>4</v>
      </c>
      <c r="D19" s="102">
        <v>2</v>
      </c>
      <c r="E19" s="238"/>
      <c r="F19" s="201" t="s">
        <v>325</v>
      </c>
      <c r="G19" s="103">
        <v>5.3819444444444453E-3</v>
      </c>
      <c r="H19" s="103">
        <v>5.1504629629629635E-3</v>
      </c>
      <c r="I19" s="103">
        <f t="shared" si="4"/>
        <v>2.3148148148148182E-4</v>
      </c>
      <c r="J19" s="171">
        <f t="shared" si="0"/>
        <v>86.67</v>
      </c>
      <c r="K19" s="234"/>
      <c r="L19" s="43">
        <f t="shared" si="5"/>
        <v>41</v>
      </c>
      <c r="M19" s="13"/>
      <c r="N19" s="43">
        <f t="shared" si="1"/>
        <v>18</v>
      </c>
      <c r="O19" s="43">
        <v>44</v>
      </c>
      <c r="P19" s="72" t="s">
        <v>48</v>
      </c>
      <c r="Q19" s="101">
        <v>4.6643518518518518E-3</v>
      </c>
      <c r="R19" s="92">
        <f t="shared" si="2"/>
        <v>2.3321759259259259E-3</v>
      </c>
      <c r="S19" s="152"/>
      <c r="T19" s="43">
        <f t="shared" si="3"/>
        <v>18</v>
      </c>
      <c r="U19" s="43">
        <v>40</v>
      </c>
      <c r="V19" s="72" t="s">
        <v>45</v>
      </c>
      <c r="W19" s="150">
        <v>0.78439999999999999</v>
      </c>
      <c r="X19" s="113">
        <v>28215</v>
      </c>
      <c r="Y19" s="13"/>
      <c r="Z19" s="124"/>
      <c r="AF19" s="109"/>
      <c r="AG19" s="124"/>
    </row>
    <row r="20" spans="1:33" ht="18" customHeight="1" x14ac:dyDescent="0.2">
      <c r="A20" s="102">
        <v>5</v>
      </c>
      <c r="B20" s="210">
        <v>41</v>
      </c>
      <c r="C20" s="102">
        <v>3</v>
      </c>
      <c r="D20" s="102">
        <v>3</v>
      </c>
      <c r="E20" s="238"/>
      <c r="F20" s="201" t="s">
        <v>287</v>
      </c>
      <c r="G20" s="103">
        <v>5.162037037037037E-3</v>
      </c>
      <c r="H20" s="103">
        <v>5.162037037037037E-3</v>
      </c>
      <c r="I20" s="103">
        <f t="shared" si="4"/>
        <v>0</v>
      </c>
      <c r="J20" s="171">
        <f t="shared" si="0"/>
        <v>86.67</v>
      </c>
      <c r="K20" s="234"/>
      <c r="L20" s="43">
        <f t="shared" si="5"/>
        <v>36</v>
      </c>
      <c r="M20" s="13"/>
      <c r="N20" s="43">
        <f t="shared" si="1"/>
        <v>19</v>
      </c>
      <c r="O20" s="43">
        <v>52</v>
      </c>
      <c r="P20" s="72" t="s">
        <v>37</v>
      </c>
      <c r="Q20" s="101">
        <v>4.7453703703703703E-3</v>
      </c>
      <c r="R20" s="92">
        <f t="shared" si="2"/>
        <v>2.3726851851851851E-3</v>
      </c>
      <c r="S20" s="152"/>
      <c r="T20" s="43">
        <f t="shared" si="3"/>
        <v>19</v>
      </c>
      <c r="U20" s="43">
        <v>35</v>
      </c>
      <c r="V20" s="72" t="s">
        <v>145</v>
      </c>
      <c r="W20" s="150">
        <v>0.77990000000000004</v>
      </c>
      <c r="X20" s="113">
        <v>30232</v>
      </c>
      <c r="Y20" s="13"/>
      <c r="Z20" s="124"/>
      <c r="AF20" s="109"/>
      <c r="AG20" s="124"/>
    </row>
    <row r="21" spans="1:33" ht="18" customHeight="1" x14ac:dyDescent="0.2">
      <c r="A21" s="104">
        <v>5</v>
      </c>
      <c r="B21" s="211">
        <v>10</v>
      </c>
      <c r="C21" s="104">
        <v>1</v>
      </c>
      <c r="D21" s="104">
        <v>4</v>
      </c>
      <c r="E21" s="239"/>
      <c r="F21" s="202" t="s">
        <v>208</v>
      </c>
      <c r="G21" s="105">
        <v>4.4560185185185189E-3</v>
      </c>
      <c r="H21" s="105">
        <v>4.5833333333333334E-3</v>
      </c>
      <c r="I21" s="105">
        <f t="shared" si="4"/>
        <v>1.2731481481481448E-4</v>
      </c>
      <c r="J21" s="172">
        <f t="shared" si="0"/>
        <v>86.67</v>
      </c>
      <c r="K21" s="234"/>
      <c r="L21" s="43">
        <f t="shared" si="5"/>
        <v>48</v>
      </c>
      <c r="M21" s="13"/>
      <c r="N21" s="43">
        <f t="shared" si="1"/>
        <v>19</v>
      </c>
      <c r="O21" s="43">
        <v>36</v>
      </c>
      <c r="P21" s="72" t="s">
        <v>191</v>
      </c>
      <c r="Q21" s="101">
        <v>4.7453703703703703E-3</v>
      </c>
      <c r="R21" s="92">
        <f t="shared" si="2"/>
        <v>2.3726851851851851E-3</v>
      </c>
      <c r="S21" s="152"/>
      <c r="T21" s="43">
        <f t="shared" si="3"/>
        <v>20</v>
      </c>
      <c r="U21" s="43">
        <v>47</v>
      </c>
      <c r="V21" s="72" t="s">
        <v>132</v>
      </c>
      <c r="W21" s="150">
        <v>0.77439999999999998</v>
      </c>
      <c r="X21" s="113">
        <v>25876</v>
      </c>
      <c r="Y21" s="13"/>
      <c r="Z21" s="124"/>
      <c r="AF21" s="109"/>
      <c r="AG21" s="124"/>
    </row>
    <row r="22" spans="1:33" ht="18" customHeight="1" x14ac:dyDescent="0.2">
      <c r="A22" s="100">
        <v>6</v>
      </c>
      <c r="B22" s="209">
        <v>14</v>
      </c>
      <c r="C22" s="100">
        <v>1</v>
      </c>
      <c r="D22" s="100">
        <v>1</v>
      </c>
      <c r="E22" s="235" t="s">
        <v>326</v>
      </c>
      <c r="F22" s="200" t="s">
        <v>60</v>
      </c>
      <c r="G22" s="101">
        <v>4.6296296296296302E-3</v>
      </c>
      <c r="H22" s="101">
        <v>4.6412037037037038E-3</v>
      </c>
      <c r="I22" s="101">
        <f t="shared" si="4"/>
        <v>1.157407407407357E-5</v>
      </c>
      <c r="J22" s="170">
        <f t="shared" si="0"/>
        <v>83.33</v>
      </c>
      <c r="K22" s="234">
        <f>SUM(H22:H25)</f>
        <v>1.9618055555555555E-2</v>
      </c>
      <c r="L22" s="43">
        <f t="shared" si="5"/>
        <v>48</v>
      </c>
      <c r="M22" s="13"/>
      <c r="N22" s="43">
        <f t="shared" si="1"/>
        <v>21</v>
      </c>
      <c r="O22" s="43">
        <v>47</v>
      </c>
      <c r="P22" s="72" t="s">
        <v>160</v>
      </c>
      <c r="Q22" s="101">
        <v>4.7685185185185183E-3</v>
      </c>
      <c r="R22" s="92">
        <f t="shared" si="2"/>
        <v>2.3842592592592591E-3</v>
      </c>
      <c r="S22" s="152"/>
      <c r="T22" s="43">
        <f t="shared" si="3"/>
        <v>21</v>
      </c>
      <c r="U22" s="43">
        <v>43</v>
      </c>
      <c r="V22" s="72" t="s">
        <v>127</v>
      </c>
      <c r="W22" s="150">
        <v>0.77400000000000002</v>
      </c>
      <c r="X22" s="113">
        <v>25675</v>
      </c>
      <c r="Y22" s="13"/>
      <c r="Z22" s="124"/>
      <c r="AF22" s="109"/>
      <c r="AG22" s="124"/>
    </row>
    <row r="23" spans="1:33" ht="18" customHeight="1" x14ac:dyDescent="0.2">
      <c r="A23" s="102">
        <v>6</v>
      </c>
      <c r="B23" s="210">
        <v>47</v>
      </c>
      <c r="C23" s="102">
        <v>4</v>
      </c>
      <c r="D23" s="102">
        <v>2</v>
      </c>
      <c r="E23" s="238"/>
      <c r="F23" s="201" t="s">
        <v>132</v>
      </c>
      <c r="G23" s="103">
        <v>5.3009259259259251E-3</v>
      </c>
      <c r="H23" s="103">
        <v>5.4745370370370373E-3</v>
      </c>
      <c r="I23" s="103">
        <f t="shared" si="4"/>
        <v>1.7361111111111223E-4</v>
      </c>
      <c r="J23" s="171">
        <f t="shared" si="0"/>
        <v>83.33</v>
      </c>
      <c r="K23" s="234"/>
      <c r="L23" s="43">
        <f t="shared" si="5"/>
        <v>47</v>
      </c>
      <c r="M23" s="13"/>
      <c r="N23" s="43">
        <f t="shared" si="1"/>
        <v>22</v>
      </c>
      <c r="O23" s="43">
        <v>43</v>
      </c>
      <c r="P23" s="68" t="s">
        <v>98</v>
      </c>
      <c r="Q23" s="101">
        <v>4.7800925925925919E-3</v>
      </c>
      <c r="R23" s="92">
        <f t="shared" si="2"/>
        <v>2.3900462962962959E-3</v>
      </c>
      <c r="S23" s="152"/>
      <c r="T23" s="43">
        <f t="shared" si="3"/>
        <v>22</v>
      </c>
      <c r="U23" s="43">
        <v>56</v>
      </c>
      <c r="V23" s="72" t="s">
        <v>175</v>
      </c>
      <c r="W23" s="150">
        <v>0.76970000000000005</v>
      </c>
      <c r="X23" s="113">
        <v>26202</v>
      </c>
      <c r="Y23" s="13"/>
      <c r="Z23" s="124"/>
      <c r="AF23" s="109"/>
      <c r="AG23" s="124"/>
    </row>
    <row r="24" spans="1:33" ht="18" customHeight="1" x14ac:dyDescent="0.2">
      <c r="A24" s="102">
        <v>6</v>
      </c>
      <c r="B24" s="210">
        <v>34</v>
      </c>
      <c r="C24" s="102">
        <v>3</v>
      </c>
      <c r="D24" s="102">
        <v>3</v>
      </c>
      <c r="E24" s="238"/>
      <c r="F24" s="201" t="s">
        <v>97</v>
      </c>
      <c r="G24" s="103">
        <v>5.0347222222222225E-3</v>
      </c>
      <c r="H24" s="103">
        <v>4.9421296296296288E-3</v>
      </c>
      <c r="I24" s="103">
        <f t="shared" si="4"/>
        <v>9.2592592592593767E-5</v>
      </c>
      <c r="J24" s="171">
        <f t="shared" si="0"/>
        <v>83.33</v>
      </c>
      <c r="K24" s="234"/>
      <c r="L24" s="43">
        <f t="shared" si="5"/>
        <v>56</v>
      </c>
      <c r="M24" s="13"/>
      <c r="N24" s="43">
        <f t="shared" si="1"/>
        <v>23</v>
      </c>
      <c r="O24" s="43">
        <v>53</v>
      </c>
      <c r="P24" s="68" t="s">
        <v>107</v>
      </c>
      <c r="Q24" s="101">
        <v>4.7916666666666672E-3</v>
      </c>
      <c r="R24" s="92">
        <f t="shared" si="2"/>
        <v>2.3958333333333336E-3</v>
      </c>
      <c r="S24" s="152"/>
      <c r="T24" s="43">
        <f t="shared" si="3"/>
        <v>23</v>
      </c>
      <c r="U24" s="43">
        <v>47</v>
      </c>
      <c r="V24" s="72" t="s">
        <v>160</v>
      </c>
      <c r="W24" s="150">
        <v>0.76729999999999998</v>
      </c>
      <c r="X24" s="113">
        <v>23037</v>
      </c>
      <c r="Y24" s="13"/>
      <c r="Z24" s="124"/>
      <c r="AF24" s="109"/>
      <c r="AG24" s="124"/>
    </row>
    <row r="25" spans="1:33" ht="18" customHeight="1" x14ac:dyDescent="0.2">
      <c r="A25" s="104">
        <v>6</v>
      </c>
      <c r="B25" s="211">
        <v>17</v>
      </c>
      <c r="C25" s="104">
        <v>2</v>
      </c>
      <c r="D25" s="104">
        <v>4</v>
      </c>
      <c r="E25" s="239"/>
      <c r="F25" s="202" t="s">
        <v>172</v>
      </c>
      <c r="G25" s="105">
        <v>4.6990740740740743E-3</v>
      </c>
      <c r="H25" s="105">
        <v>4.5601851851851853E-3</v>
      </c>
      <c r="I25" s="105">
        <f t="shared" si="4"/>
        <v>1.3888888888888892E-4</v>
      </c>
      <c r="J25" s="172">
        <f t="shared" si="0"/>
        <v>83.33</v>
      </c>
      <c r="K25" s="234"/>
      <c r="L25" s="43">
        <f t="shared" si="5"/>
        <v>41</v>
      </c>
      <c r="M25" s="13"/>
      <c r="N25" s="43">
        <f t="shared" si="1"/>
        <v>24</v>
      </c>
      <c r="O25" s="43">
        <v>43</v>
      </c>
      <c r="P25" s="72" t="s">
        <v>327</v>
      </c>
      <c r="Q25" s="101">
        <v>4.8611111111111112E-3</v>
      </c>
      <c r="R25" s="92">
        <f t="shared" si="2"/>
        <v>2.4305555555555556E-3</v>
      </c>
      <c r="S25" s="152"/>
      <c r="T25" s="43">
        <f t="shared" si="3"/>
        <v>24</v>
      </c>
      <c r="U25" s="43">
        <v>44</v>
      </c>
      <c r="V25" s="72" t="s">
        <v>48</v>
      </c>
      <c r="W25" s="150">
        <v>0.76639999999999997</v>
      </c>
      <c r="X25" s="113">
        <v>28474</v>
      </c>
      <c r="Y25" s="13"/>
      <c r="Z25" s="124"/>
      <c r="AF25" s="109"/>
      <c r="AG25" s="124"/>
    </row>
    <row r="26" spans="1:33" ht="18" customHeight="1" x14ac:dyDescent="0.2">
      <c r="A26" s="100">
        <v>7</v>
      </c>
      <c r="B26" s="209">
        <v>27</v>
      </c>
      <c r="C26" s="100">
        <v>2</v>
      </c>
      <c r="D26" s="100">
        <v>1</v>
      </c>
      <c r="E26" s="235" t="s">
        <v>328</v>
      </c>
      <c r="F26" s="200" t="s">
        <v>327</v>
      </c>
      <c r="G26" s="101">
        <v>4.9768518518518521E-3</v>
      </c>
      <c r="H26" s="101">
        <v>4.8611111111111112E-3</v>
      </c>
      <c r="I26" s="101">
        <f t="shared" si="4"/>
        <v>1.1574074074074091E-4</v>
      </c>
      <c r="J26" s="170">
        <f t="shared" si="0"/>
        <v>80</v>
      </c>
      <c r="K26" s="234">
        <f>SUM(H26:H29)</f>
        <v>1.9675925925925923E-2</v>
      </c>
      <c r="L26" s="43">
        <f t="shared" si="5"/>
        <v>43</v>
      </c>
      <c r="M26" s="13"/>
      <c r="N26" s="43">
        <f t="shared" si="1"/>
        <v>25</v>
      </c>
      <c r="O26" s="43">
        <v>44</v>
      </c>
      <c r="P26" s="68" t="s">
        <v>89</v>
      </c>
      <c r="Q26" s="101">
        <v>4.8842592592592592E-3</v>
      </c>
      <c r="R26" s="92">
        <f t="shared" si="2"/>
        <v>2.4421296296296296E-3</v>
      </c>
      <c r="S26" s="152"/>
      <c r="T26" s="43">
        <f t="shared" si="3"/>
        <v>25</v>
      </c>
      <c r="U26" s="43">
        <v>41</v>
      </c>
      <c r="V26" s="72" t="s">
        <v>172</v>
      </c>
      <c r="W26" s="150">
        <v>0.76629999999999998</v>
      </c>
      <c r="X26" s="113">
        <v>27487</v>
      </c>
      <c r="Y26" s="13"/>
      <c r="Z26" s="124"/>
      <c r="AB26" s="13"/>
      <c r="AF26" s="109"/>
      <c r="AG26" s="124"/>
    </row>
    <row r="27" spans="1:33" ht="18" customHeight="1" x14ac:dyDescent="0.2">
      <c r="A27" s="102">
        <v>7</v>
      </c>
      <c r="B27" s="210">
        <v>53</v>
      </c>
      <c r="C27" s="102">
        <v>4</v>
      </c>
      <c r="D27" s="102">
        <v>2</v>
      </c>
      <c r="E27" s="238"/>
      <c r="F27" s="203" t="s">
        <v>106</v>
      </c>
      <c r="G27" s="103">
        <v>5.4166666666666669E-3</v>
      </c>
      <c r="H27" s="103">
        <v>5.3587962962962964E-3</v>
      </c>
      <c r="I27" s="103">
        <f t="shared" si="4"/>
        <v>5.7870370370370454E-5</v>
      </c>
      <c r="J27" s="171">
        <f t="shared" si="0"/>
        <v>80</v>
      </c>
      <c r="K27" s="234"/>
      <c r="L27" s="43">
        <f t="shared" si="5"/>
        <v>37</v>
      </c>
      <c r="M27" s="13"/>
      <c r="N27" s="43">
        <f t="shared" si="1"/>
        <v>26</v>
      </c>
      <c r="O27" s="43">
        <v>42</v>
      </c>
      <c r="P27" s="72" t="s">
        <v>128</v>
      </c>
      <c r="Q27" s="101">
        <v>4.9189814814814816E-3</v>
      </c>
      <c r="R27" s="92">
        <f t="shared" si="2"/>
        <v>2.4594907407407408E-3</v>
      </c>
      <c r="S27" s="152"/>
      <c r="T27" s="43">
        <f t="shared" si="3"/>
        <v>26</v>
      </c>
      <c r="U27" s="43">
        <v>35</v>
      </c>
      <c r="V27" s="72" t="s">
        <v>151</v>
      </c>
      <c r="W27" s="150">
        <v>0.76519999999999999</v>
      </c>
      <c r="X27" s="113">
        <v>29762</v>
      </c>
      <c r="Y27" s="13"/>
      <c r="Z27" s="124"/>
      <c r="AF27" s="109"/>
      <c r="AG27" s="124"/>
    </row>
    <row r="28" spans="1:33" ht="18" customHeight="1" x14ac:dyDescent="0.2">
      <c r="A28" s="102">
        <v>7</v>
      </c>
      <c r="B28" s="210">
        <v>36</v>
      </c>
      <c r="C28" s="102">
        <v>3</v>
      </c>
      <c r="D28" s="102">
        <v>3</v>
      </c>
      <c r="E28" s="238"/>
      <c r="F28" s="201" t="s">
        <v>80</v>
      </c>
      <c r="G28" s="103">
        <v>5.0694444444444441E-3</v>
      </c>
      <c r="H28" s="103">
        <v>5.0347222222222225E-3</v>
      </c>
      <c r="I28" s="103">
        <f t="shared" si="4"/>
        <v>3.4722222222221578E-5</v>
      </c>
      <c r="J28" s="171">
        <f t="shared" si="0"/>
        <v>80</v>
      </c>
      <c r="K28" s="234"/>
      <c r="L28" s="43">
        <f t="shared" si="5"/>
        <v>37</v>
      </c>
      <c r="M28" s="13"/>
      <c r="N28" s="43">
        <f t="shared" si="1"/>
        <v>27</v>
      </c>
      <c r="O28" s="43">
        <v>56</v>
      </c>
      <c r="P28" s="72" t="s">
        <v>97</v>
      </c>
      <c r="Q28" s="101">
        <v>4.9421296296296288E-3</v>
      </c>
      <c r="R28" s="92">
        <f t="shared" si="2"/>
        <v>2.4710648148148144E-3</v>
      </c>
      <c r="S28" s="152"/>
      <c r="T28" s="43">
        <f t="shared" si="3"/>
        <v>27</v>
      </c>
      <c r="U28" s="43">
        <v>38</v>
      </c>
      <c r="V28" s="72" t="s">
        <v>224</v>
      </c>
      <c r="W28" s="150">
        <v>0.76080000000000003</v>
      </c>
      <c r="X28" s="113">
        <v>29907</v>
      </c>
      <c r="Y28" s="13"/>
      <c r="Z28" s="124"/>
      <c r="AC28" s="13"/>
      <c r="AF28" s="109"/>
      <c r="AG28" s="124"/>
    </row>
    <row r="29" spans="1:33" ht="18" customHeight="1" x14ac:dyDescent="0.2">
      <c r="A29" s="104">
        <v>7</v>
      </c>
      <c r="B29" s="211">
        <v>8</v>
      </c>
      <c r="C29" s="104">
        <v>1</v>
      </c>
      <c r="D29" s="104">
        <v>4</v>
      </c>
      <c r="E29" s="239"/>
      <c r="F29" s="202" t="s">
        <v>45</v>
      </c>
      <c r="G29" s="105">
        <v>4.4328703703703709E-3</v>
      </c>
      <c r="H29" s="105">
        <v>4.4212962962962956E-3</v>
      </c>
      <c r="I29" s="105">
        <f t="shared" si="4"/>
        <v>1.1574074074075305E-5</v>
      </c>
      <c r="J29" s="172">
        <f t="shared" si="0"/>
        <v>80</v>
      </c>
      <c r="K29" s="234"/>
      <c r="L29" s="43">
        <f t="shared" si="5"/>
        <v>40</v>
      </c>
      <c r="M29" s="13"/>
      <c r="N29" s="43">
        <f t="shared" si="1"/>
        <v>27</v>
      </c>
      <c r="O29" s="43">
        <v>44</v>
      </c>
      <c r="P29" s="68" t="s">
        <v>39</v>
      </c>
      <c r="Q29" s="101">
        <v>4.9421296296296288E-3</v>
      </c>
      <c r="R29" s="92">
        <f t="shared" si="2"/>
        <v>2.4710648148148144E-3</v>
      </c>
      <c r="S29" s="152"/>
      <c r="T29" s="43">
        <f t="shared" si="3"/>
        <v>28</v>
      </c>
      <c r="U29" s="43">
        <v>39</v>
      </c>
      <c r="V29" s="72" t="s">
        <v>321</v>
      </c>
      <c r="W29" s="150">
        <v>0.76070000000000004</v>
      </c>
      <c r="X29" s="113">
        <v>28707</v>
      </c>
      <c r="Y29" s="13"/>
      <c r="Z29" s="124"/>
      <c r="AF29" s="109"/>
      <c r="AG29" s="124"/>
    </row>
    <row r="30" spans="1:33" ht="18" customHeight="1" x14ac:dyDescent="0.2">
      <c r="A30" s="100">
        <v>8</v>
      </c>
      <c r="B30" s="209">
        <v>5</v>
      </c>
      <c r="C30" s="100">
        <v>1</v>
      </c>
      <c r="D30" s="100">
        <v>1</v>
      </c>
      <c r="E30" s="235" t="s">
        <v>329</v>
      </c>
      <c r="F30" s="200" t="s">
        <v>32</v>
      </c>
      <c r="G30" s="101">
        <v>4.3749999999999995E-3</v>
      </c>
      <c r="H30" s="101">
        <v>4.4560185185185189E-3</v>
      </c>
      <c r="I30" s="101">
        <f t="shared" si="4"/>
        <v>8.1018518518519329E-5</v>
      </c>
      <c r="J30" s="170">
        <f t="shared" si="0"/>
        <v>76.67</v>
      </c>
      <c r="K30" s="234">
        <f>SUM(H30:H33)</f>
        <v>1.9699074074074074E-2</v>
      </c>
      <c r="L30" s="43">
        <f t="shared" si="5"/>
        <v>44</v>
      </c>
      <c r="M30" s="13"/>
      <c r="N30" s="43">
        <f t="shared" si="1"/>
        <v>27</v>
      </c>
      <c r="O30" s="43">
        <v>35</v>
      </c>
      <c r="P30" s="68" t="s">
        <v>151</v>
      </c>
      <c r="Q30" s="101">
        <v>4.9421296296296288E-3</v>
      </c>
      <c r="R30" s="92">
        <f t="shared" si="2"/>
        <v>2.4710648148148144E-3</v>
      </c>
      <c r="S30" s="152"/>
      <c r="T30" s="43">
        <f t="shared" si="3"/>
        <v>29</v>
      </c>
      <c r="U30" s="43">
        <v>37</v>
      </c>
      <c r="V30" s="72" t="s">
        <v>96</v>
      </c>
      <c r="W30" s="150">
        <v>0.74580000000000002</v>
      </c>
      <c r="X30" s="113">
        <v>27386</v>
      </c>
      <c r="Y30" s="13"/>
      <c r="Z30" s="124"/>
      <c r="AF30" s="109"/>
      <c r="AG30" s="124"/>
    </row>
    <row r="31" spans="1:33" ht="18" customHeight="1" x14ac:dyDescent="0.2">
      <c r="A31" s="102">
        <v>8</v>
      </c>
      <c r="B31" s="210">
        <v>43</v>
      </c>
      <c r="C31" s="102">
        <v>3</v>
      </c>
      <c r="D31" s="102">
        <v>2</v>
      </c>
      <c r="E31" s="238"/>
      <c r="F31" s="203" t="s">
        <v>46</v>
      </c>
      <c r="G31" s="103">
        <v>5.208333333333333E-3</v>
      </c>
      <c r="H31" s="103">
        <v>5.0578703703703706E-3</v>
      </c>
      <c r="I31" s="103">
        <f t="shared" si="4"/>
        <v>1.5046296296296249E-4</v>
      </c>
      <c r="J31" s="171">
        <f t="shared" si="0"/>
        <v>76.67</v>
      </c>
      <c r="K31" s="234"/>
      <c r="L31" s="43">
        <f t="shared" si="5"/>
        <v>41</v>
      </c>
      <c r="M31" s="13"/>
      <c r="N31" s="43">
        <f t="shared" si="1"/>
        <v>30</v>
      </c>
      <c r="O31" s="43">
        <v>44</v>
      </c>
      <c r="P31" s="68" t="s">
        <v>91</v>
      </c>
      <c r="Q31" s="101">
        <v>4.9537037037037041E-3</v>
      </c>
      <c r="R31" s="92">
        <f t="shared" si="2"/>
        <v>2.476851851851852E-3</v>
      </c>
      <c r="S31" s="152"/>
      <c r="T31" s="43">
        <f t="shared" si="3"/>
        <v>30</v>
      </c>
      <c r="U31" s="43">
        <v>43</v>
      </c>
      <c r="V31" s="72" t="s">
        <v>98</v>
      </c>
      <c r="W31" s="150">
        <v>0.74209999999999998</v>
      </c>
      <c r="X31" s="113">
        <v>28398</v>
      </c>
      <c r="Y31" s="13"/>
      <c r="Z31" s="124"/>
      <c r="AF31" s="109"/>
      <c r="AG31" s="124"/>
    </row>
    <row r="32" spans="1:33" ht="18" customHeight="1" x14ac:dyDescent="0.2">
      <c r="A32" s="102">
        <v>8</v>
      </c>
      <c r="B32" s="210">
        <v>55</v>
      </c>
      <c r="C32" s="102">
        <v>4</v>
      </c>
      <c r="D32" s="102">
        <v>3</v>
      </c>
      <c r="E32" s="238"/>
      <c r="F32" s="203" t="s">
        <v>257</v>
      </c>
      <c r="G32" s="103">
        <v>5.4976851851851853E-3</v>
      </c>
      <c r="H32" s="103">
        <v>5.1736111111111115E-3</v>
      </c>
      <c r="I32" s="103">
        <f t="shared" si="4"/>
        <v>3.2407407407407385E-4</v>
      </c>
      <c r="J32" s="171">
        <f t="shared" si="0"/>
        <v>76.67</v>
      </c>
      <c r="K32" s="234"/>
      <c r="L32" s="43">
        <f t="shared" si="5"/>
        <v>36</v>
      </c>
      <c r="M32" s="13"/>
      <c r="N32" s="43">
        <f t="shared" si="1"/>
        <v>31</v>
      </c>
      <c r="O32" s="43">
        <v>40</v>
      </c>
      <c r="P32" s="72" t="s">
        <v>105</v>
      </c>
      <c r="Q32" s="101">
        <v>4.9652777777777777E-3</v>
      </c>
      <c r="R32" s="92">
        <f t="shared" si="2"/>
        <v>2.4826388888888888E-3</v>
      </c>
      <c r="S32" s="152"/>
      <c r="T32" s="43">
        <f t="shared" si="3"/>
        <v>31</v>
      </c>
      <c r="U32" s="43">
        <v>49</v>
      </c>
      <c r="V32" s="72" t="s">
        <v>55</v>
      </c>
      <c r="W32" s="150">
        <v>0.73670000000000002</v>
      </c>
      <c r="X32" s="113">
        <v>30088</v>
      </c>
      <c r="Y32" s="13"/>
      <c r="Z32" s="124"/>
      <c r="AF32" s="109"/>
      <c r="AG32" s="124"/>
    </row>
    <row r="33" spans="1:33" ht="18" customHeight="1" x14ac:dyDescent="0.2">
      <c r="A33" s="104">
        <v>8</v>
      </c>
      <c r="B33" s="211">
        <v>28</v>
      </c>
      <c r="C33" s="104">
        <v>2</v>
      </c>
      <c r="D33" s="104">
        <v>4</v>
      </c>
      <c r="E33" s="239"/>
      <c r="F33" s="204" t="s">
        <v>173</v>
      </c>
      <c r="G33" s="105">
        <v>4.9768518518518521E-3</v>
      </c>
      <c r="H33" s="105">
        <v>5.0115740740740737E-3</v>
      </c>
      <c r="I33" s="105">
        <f t="shared" si="4"/>
        <v>3.4722222222221578E-5</v>
      </c>
      <c r="J33" s="172">
        <f t="shared" si="0"/>
        <v>76.67</v>
      </c>
      <c r="K33" s="234"/>
      <c r="L33" s="43">
        <f t="shared" si="5"/>
        <v>34</v>
      </c>
      <c r="M33" s="13"/>
      <c r="N33" s="43">
        <f t="shared" si="1"/>
        <v>31</v>
      </c>
      <c r="O33" s="43">
        <v>46</v>
      </c>
      <c r="P33" s="68" t="s">
        <v>59</v>
      </c>
      <c r="Q33" s="101">
        <v>4.9652777777777777E-3</v>
      </c>
      <c r="R33" s="92">
        <f t="shared" si="2"/>
        <v>2.4826388888888888E-3</v>
      </c>
      <c r="S33" s="152"/>
      <c r="T33" s="43">
        <f t="shared" si="3"/>
        <v>32</v>
      </c>
      <c r="U33" s="43">
        <v>36</v>
      </c>
      <c r="V33" s="72" t="s">
        <v>257</v>
      </c>
      <c r="W33" s="150">
        <v>0.7349</v>
      </c>
      <c r="X33" s="113">
        <v>30976</v>
      </c>
      <c r="Y33" s="13"/>
      <c r="Z33" s="124"/>
      <c r="AF33" s="109"/>
      <c r="AG33" s="124"/>
    </row>
    <row r="34" spans="1:33" ht="18" customHeight="1" x14ac:dyDescent="0.2">
      <c r="A34" s="100">
        <v>9</v>
      </c>
      <c r="B34" s="209">
        <v>23</v>
      </c>
      <c r="C34" s="100">
        <v>2</v>
      </c>
      <c r="D34" s="100">
        <v>1</v>
      </c>
      <c r="E34" s="235" t="s">
        <v>330</v>
      </c>
      <c r="F34" s="200" t="s">
        <v>39</v>
      </c>
      <c r="G34" s="101">
        <v>4.8958333333333328E-3</v>
      </c>
      <c r="H34" s="101">
        <v>4.9421296296296288E-3</v>
      </c>
      <c r="I34" s="101">
        <f t="shared" si="4"/>
        <v>4.6296296296296016E-5</v>
      </c>
      <c r="J34" s="170">
        <f t="shared" ref="J34:J61" si="6">ROUND(100-((100/(2*$B$63))*(A34-1)),2)</f>
        <v>73.33</v>
      </c>
      <c r="K34" s="234">
        <f>SUM(H34:H37)</f>
        <v>1.9768518518518515E-2</v>
      </c>
      <c r="L34" s="43">
        <f t="shared" si="5"/>
        <v>44</v>
      </c>
      <c r="M34" s="13"/>
      <c r="N34" s="43">
        <f t="shared" ref="N34:N61" si="7">RANK(Q34,$Q$2:$Q$61,1)</f>
        <v>33</v>
      </c>
      <c r="O34" s="43">
        <v>47</v>
      </c>
      <c r="P34" s="68" t="s">
        <v>259</v>
      </c>
      <c r="Q34" s="101">
        <v>4.9884259259259265E-3</v>
      </c>
      <c r="R34" s="92">
        <f t="shared" ref="R34:R61" si="8">Q34/2</f>
        <v>2.4942129629629633E-3</v>
      </c>
      <c r="S34" s="152"/>
      <c r="T34" s="43">
        <f t="shared" ref="T34:T61" si="9">RANK(W34,$W$2:$W$61,0)</f>
        <v>33</v>
      </c>
      <c r="U34" s="43">
        <v>47</v>
      </c>
      <c r="V34" s="72" t="s">
        <v>259</v>
      </c>
      <c r="W34" s="150">
        <v>0.73350000000000004</v>
      </c>
      <c r="X34" s="113">
        <v>27260</v>
      </c>
      <c r="Y34" s="13"/>
      <c r="Z34" s="124"/>
      <c r="AF34" s="109"/>
      <c r="AG34" s="124"/>
    </row>
    <row r="35" spans="1:33" ht="18" customHeight="1" x14ac:dyDescent="0.2">
      <c r="A35" s="102">
        <v>9</v>
      </c>
      <c r="B35" s="210">
        <v>35</v>
      </c>
      <c r="C35" s="102">
        <v>3</v>
      </c>
      <c r="D35" s="102">
        <v>2</v>
      </c>
      <c r="E35" s="238"/>
      <c r="F35" s="201" t="s">
        <v>151</v>
      </c>
      <c r="G35" s="103">
        <v>5.0347222222222225E-3</v>
      </c>
      <c r="H35" s="103">
        <v>4.9421296296296288E-3</v>
      </c>
      <c r="I35" s="103">
        <f t="shared" si="4"/>
        <v>9.2592592592593767E-5</v>
      </c>
      <c r="J35" s="171">
        <f t="shared" si="6"/>
        <v>73.33</v>
      </c>
      <c r="K35" s="234"/>
      <c r="L35" s="43">
        <f t="shared" si="5"/>
        <v>35</v>
      </c>
      <c r="M35" s="13"/>
      <c r="N35" s="43">
        <f t="shared" si="7"/>
        <v>34</v>
      </c>
      <c r="O35" s="43">
        <v>41</v>
      </c>
      <c r="P35" s="68" t="s">
        <v>90</v>
      </c>
      <c r="Q35" s="101">
        <v>5.0115740740740737E-3</v>
      </c>
      <c r="R35" s="92">
        <f t="shared" si="8"/>
        <v>2.5057870370370368E-3</v>
      </c>
      <c r="S35" s="152"/>
      <c r="T35" s="43">
        <f t="shared" si="9"/>
        <v>34</v>
      </c>
      <c r="U35" s="43">
        <v>44</v>
      </c>
      <c r="V35" s="72" t="s">
        <v>89</v>
      </c>
      <c r="W35" s="150">
        <v>0.7319</v>
      </c>
      <c r="X35" s="113">
        <v>30558</v>
      </c>
      <c r="Y35" s="13"/>
      <c r="Z35" s="124"/>
      <c r="AC35" s="13"/>
      <c r="AF35" s="109"/>
      <c r="AG35" s="124"/>
    </row>
    <row r="36" spans="1:33" ht="18" customHeight="1" x14ac:dyDescent="0.2">
      <c r="A36" s="102">
        <v>9</v>
      </c>
      <c r="B36" s="210">
        <v>60</v>
      </c>
      <c r="C36" s="102">
        <v>4</v>
      </c>
      <c r="D36" s="102">
        <v>3</v>
      </c>
      <c r="E36" s="238"/>
      <c r="F36" s="201" t="s">
        <v>263</v>
      </c>
      <c r="G36" s="103">
        <v>6.1921296296296299E-3</v>
      </c>
      <c r="H36" s="103">
        <v>5.8680555555555543E-3</v>
      </c>
      <c r="I36" s="103">
        <f t="shared" si="4"/>
        <v>3.2407407407407558E-4</v>
      </c>
      <c r="J36" s="171">
        <f t="shared" si="6"/>
        <v>73.33</v>
      </c>
      <c r="K36" s="234"/>
      <c r="L36" s="43">
        <f t="shared" si="5"/>
        <v>34</v>
      </c>
      <c r="M36" s="13"/>
      <c r="N36" s="43">
        <f t="shared" si="7"/>
        <v>34</v>
      </c>
      <c r="O36" s="43">
        <v>34</v>
      </c>
      <c r="P36" s="68" t="s">
        <v>173</v>
      </c>
      <c r="Q36" s="101">
        <v>5.0115740740740737E-3</v>
      </c>
      <c r="R36" s="92">
        <f t="shared" si="8"/>
        <v>2.5057870370370368E-3</v>
      </c>
      <c r="S36" s="152"/>
      <c r="T36" s="43">
        <f t="shared" si="9"/>
        <v>35</v>
      </c>
      <c r="U36" s="43">
        <v>46</v>
      </c>
      <c r="V36" s="72" t="s">
        <v>59</v>
      </c>
      <c r="W36" s="150">
        <v>0.73119999999999996</v>
      </c>
      <c r="X36" s="113">
        <v>30824</v>
      </c>
      <c r="Y36" s="13"/>
      <c r="Z36" s="124"/>
      <c r="AF36" s="109"/>
      <c r="AG36" s="124"/>
    </row>
    <row r="37" spans="1:33" ht="18" customHeight="1" x14ac:dyDescent="0.2">
      <c r="A37" s="104">
        <v>9</v>
      </c>
      <c r="B37" s="211">
        <v>1</v>
      </c>
      <c r="C37" s="104">
        <v>1</v>
      </c>
      <c r="D37" s="104">
        <v>4</v>
      </c>
      <c r="E37" s="239"/>
      <c r="F37" s="202" t="s">
        <v>182</v>
      </c>
      <c r="G37" s="105">
        <v>4.0509259259259257E-3</v>
      </c>
      <c r="H37" s="105">
        <v>4.0162037037037033E-3</v>
      </c>
      <c r="I37" s="105">
        <f t="shared" si="4"/>
        <v>3.4722222222222446E-5</v>
      </c>
      <c r="J37" s="172">
        <f t="shared" si="6"/>
        <v>73.33</v>
      </c>
      <c r="K37" s="234"/>
      <c r="L37" s="43">
        <f t="shared" si="5"/>
        <v>35</v>
      </c>
      <c r="M37" s="13"/>
      <c r="N37" s="43">
        <f t="shared" si="7"/>
        <v>36</v>
      </c>
      <c r="O37" s="43">
        <v>37</v>
      </c>
      <c r="P37" s="72" t="s">
        <v>80</v>
      </c>
      <c r="Q37" s="101">
        <v>5.0347222222222225E-3</v>
      </c>
      <c r="R37" s="92">
        <f t="shared" si="8"/>
        <v>2.5173611111111113E-3</v>
      </c>
      <c r="S37" s="152"/>
      <c r="T37" s="43">
        <f t="shared" si="9"/>
        <v>36</v>
      </c>
      <c r="U37" s="43">
        <v>44</v>
      </c>
      <c r="V37" s="72" t="s">
        <v>335</v>
      </c>
      <c r="W37" s="150">
        <v>0.72840000000000005</v>
      </c>
      <c r="X37" s="113">
        <v>30591</v>
      </c>
      <c r="Y37" s="13"/>
      <c r="Z37" s="124"/>
      <c r="AF37" s="109"/>
      <c r="AG37" s="124"/>
    </row>
    <row r="38" spans="1:33" ht="18" customHeight="1" x14ac:dyDescent="0.2">
      <c r="A38" s="100">
        <v>10</v>
      </c>
      <c r="B38" s="209">
        <v>20</v>
      </c>
      <c r="C38" s="100">
        <v>2</v>
      </c>
      <c r="D38" s="100">
        <v>1</v>
      </c>
      <c r="E38" s="235" t="s">
        <v>331</v>
      </c>
      <c r="F38" s="205" t="s">
        <v>160</v>
      </c>
      <c r="G38" s="101">
        <v>4.7685185185185183E-3</v>
      </c>
      <c r="H38" s="101">
        <v>4.7685185185185183E-3</v>
      </c>
      <c r="I38" s="101">
        <f t="shared" si="4"/>
        <v>0</v>
      </c>
      <c r="J38" s="170">
        <f t="shared" si="6"/>
        <v>70</v>
      </c>
      <c r="K38" s="234">
        <f>SUM(H38:H41)</f>
        <v>2.0023148148148148E-2</v>
      </c>
      <c r="L38" s="43">
        <f t="shared" si="5"/>
        <v>47</v>
      </c>
      <c r="M38" s="13"/>
      <c r="N38" s="43">
        <f t="shared" si="7"/>
        <v>37</v>
      </c>
      <c r="O38" s="43">
        <v>49</v>
      </c>
      <c r="P38" s="68" t="s">
        <v>55</v>
      </c>
      <c r="Q38" s="101">
        <v>5.0462962962962961E-3</v>
      </c>
      <c r="R38" s="92">
        <f t="shared" si="8"/>
        <v>2.5231481481481481E-3</v>
      </c>
      <c r="S38" s="152"/>
      <c r="T38" s="43">
        <f t="shared" si="9"/>
        <v>37</v>
      </c>
      <c r="U38" s="43">
        <v>44</v>
      </c>
      <c r="V38" s="72" t="s">
        <v>39</v>
      </c>
      <c r="W38" s="150">
        <v>0.72330000000000005</v>
      </c>
      <c r="X38" s="113">
        <v>26323</v>
      </c>
      <c r="Y38" s="13"/>
      <c r="Z38" s="124"/>
      <c r="AF38" s="109"/>
      <c r="AG38" s="124"/>
    </row>
    <row r="39" spans="1:33" ht="18" customHeight="1" x14ac:dyDescent="0.2">
      <c r="A39" s="102">
        <v>10</v>
      </c>
      <c r="B39" s="210">
        <v>38</v>
      </c>
      <c r="C39" s="102">
        <v>3</v>
      </c>
      <c r="D39" s="102">
        <v>2</v>
      </c>
      <c r="E39" s="238"/>
      <c r="F39" s="201" t="s">
        <v>128</v>
      </c>
      <c r="G39" s="103">
        <v>5.0925925925925921E-3</v>
      </c>
      <c r="H39" s="103">
        <v>4.9189814814814816E-3</v>
      </c>
      <c r="I39" s="103">
        <f t="shared" si="4"/>
        <v>1.7361111111111049E-4</v>
      </c>
      <c r="J39" s="171">
        <f t="shared" si="6"/>
        <v>70</v>
      </c>
      <c r="K39" s="234"/>
      <c r="L39" s="43">
        <f t="shared" si="5"/>
        <v>42</v>
      </c>
      <c r="M39" s="13"/>
      <c r="N39" s="43">
        <f t="shared" si="7"/>
        <v>38</v>
      </c>
      <c r="O39" s="43">
        <v>41</v>
      </c>
      <c r="P39" s="68" t="s">
        <v>46</v>
      </c>
      <c r="Q39" s="101">
        <v>5.0578703703703706E-3</v>
      </c>
      <c r="R39" s="92">
        <f t="shared" si="8"/>
        <v>2.5289351851851853E-3</v>
      </c>
      <c r="S39" s="152"/>
      <c r="T39" s="43">
        <f t="shared" si="9"/>
        <v>38</v>
      </c>
      <c r="U39" s="43">
        <v>44</v>
      </c>
      <c r="V39" s="72" t="s">
        <v>91</v>
      </c>
      <c r="W39" s="150">
        <v>0.72170000000000001</v>
      </c>
      <c r="X39" s="113">
        <v>27828</v>
      </c>
      <c r="Y39" s="13"/>
      <c r="Z39" s="124"/>
      <c r="AF39" s="109"/>
      <c r="AG39" s="124"/>
    </row>
    <row r="40" spans="1:33" ht="18" customHeight="1" x14ac:dyDescent="0.2">
      <c r="A40" s="102">
        <v>10</v>
      </c>
      <c r="B40" s="210">
        <v>52</v>
      </c>
      <c r="C40" s="102">
        <v>4</v>
      </c>
      <c r="D40" s="102">
        <v>3</v>
      </c>
      <c r="E40" s="238"/>
      <c r="F40" s="201" t="s">
        <v>67</v>
      </c>
      <c r="G40" s="103">
        <v>5.4050925925925924E-3</v>
      </c>
      <c r="H40" s="103">
        <v>5.7523148148148143E-3</v>
      </c>
      <c r="I40" s="103">
        <f t="shared" si="4"/>
        <v>3.4722222222222186E-4</v>
      </c>
      <c r="J40" s="171">
        <f t="shared" si="6"/>
        <v>70</v>
      </c>
      <c r="K40" s="234"/>
      <c r="L40" s="43">
        <f t="shared" si="5"/>
        <v>44</v>
      </c>
      <c r="M40" s="13"/>
      <c r="N40" s="43">
        <f t="shared" si="7"/>
        <v>38</v>
      </c>
      <c r="O40" s="43">
        <v>25</v>
      </c>
      <c r="P40" s="68" t="s">
        <v>212</v>
      </c>
      <c r="Q40" s="101">
        <v>5.0578703703703706E-3</v>
      </c>
      <c r="R40" s="92">
        <f t="shared" si="8"/>
        <v>2.5289351851851853E-3</v>
      </c>
      <c r="S40" s="152"/>
      <c r="T40" s="43">
        <f t="shared" si="9"/>
        <v>39</v>
      </c>
      <c r="U40" s="43">
        <v>42</v>
      </c>
      <c r="V40" s="72" t="s">
        <v>128</v>
      </c>
      <c r="W40" s="150">
        <v>0.7157</v>
      </c>
      <c r="X40" s="113">
        <v>27344</v>
      </c>
      <c r="Y40" s="13"/>
      <c r="Z40" s="124"/>
      <c r="AF40" s="109"/>
      <c r="AG40" s="124"/>
    </row>
    <row r="41" spans="1:33" ht="18" customHeight="1" x14ac:dyDescent="0.2">
      <c r="A41" s="104">
        <v>10</v>
      </c>
      <c r="B41" s="211">
        <v>9</v>
      </c>
      <c r="C41" s="104">
        <v>1</v>
      </c>
      <c r="D41" s="104">
        <v>4</v>
      </c>
      <c r="E41" s="239"/>
      <c r="F41" s="202" t="s">
        <v>127</v>
      </c>
      <c r="G41" s="105">
        <v>4.4444444444444444E-3</v>
      </c>
      <c r="H41" s="105">
        <v>4.5833333333333334E-3</v>
      </c>
      <c r="I41" s="105">
        <f t="shared" si="4"/>
        <v>1.3888888888888892E-4</v>
      </c>
      <c r="J41" s="172">
        <f t="shared" si="6"/>
        <v>70</v>
      </c>
      <c r="K41" s="234"/>
      <c r="L41" s="43">
        <f t="shared" si="5"/>
        <v>43</v>
      </c>
      <c r="M41" s="13"/>
      <c r="N41" s="43">
        <f t="shared" si="7"/>
        <v>40</v>
      </c>
      <c r="O41" s="43">
        <v>42</v>
      </c>
      <c r="P41" s="68" t="s">
        <v>116</v>
      </c>
      <c r="Q41" s="101">
        <v>5.0694444444444441E-3</v>
      </c>
      <c r="R41" s="92">
        <f t="shared" si="8"/>
        <v>2.5347222222222221E-3</v>
      </c>
      <c r="S41" s="152"/>
      <c r="T41" s="43">
        <f t="shared" si="9"/>
        <v>40</v>
      </c>
      <c r="U41" s="43">
        <v>46</v>
      </c>
      <c r="V41" s="72" t="s">
        <v>318</v>
      </c>
      <c r="W41" s="150">
        <v>0.71460000000000001</v>
      </c>
      <c r="X41" s="113">
        <v>27654</v>
      </c>
      <c r="Y41" s="13"/>
      <c r="Z41" s="124"/>
      <c r="AF41" s="109"/>
      <c r="AG41" s="124"/>
    </row>
    <row r="42" spans="1:33" ht="18" customHeight="1" x14ac:dyDescent="0.2">
      <c r="A42" s="100">
        <v>11</v>
      </c>
      <c r="B42" s="209">
        <v>21</v>
      </c>
      <c r="C42" s="100">
        <v>2</v>
      </c>
      <c r="D42" s="100">
        <v>1</v>
      </c>
      <c r="E42" s="235" t="s">
        <v>332</v>
      </c>
      <c r="F42" s="197" t="s">
        <v>98</v>
      </c>
      <c r="G42" s="101">
        <v>4.7800925925925919E-3</v>
      </c>
      <c r="H42" s="101">
        <v>4.7800925925925919E-3</v>
      </c>
      <c r="I42" s="101">
        <f t="shared" si="4"/>
        <v>0</v>
      </c>
      <c r="J42" s="170">
        <f t="shared" si="6"/>
        <v>66.67</v>
      </c>
      <c r="K42" s="234">
        <f>SUM(H42:H45)</f>
        <v>2.0057870370370368E-2</v>
      </c>
      <c r="L42" s="43">
        <f t="shared" si="5"/>
        <v>43</v>
      </c>
      <c r="M42" s="13"/>
      <c r="N42" s="43">
        <f t="shared" si="7"/>
        <v>41</v>
      </c>
      <c r="O42" s="43">
        <v>46</v>
      </c>
      <c r="P42" s="72" t="s">
        <v>318</v>
      </c>
      <c r="Q42" s="101">
        <v>5.0810185185185186E-3</v>
      </c>
      <c r="R42" s="92">
        <f t="shared" si="8"/>
        <v>2.5405092592592593E-3</v>
      </c>
      <c r="S42" s="152"/>
      <c r="T42" s="43">
        <f t="shared" si="9"/>
        <v>41</v>
      </c>
      <c r="U42" s="43">
        <v>52</v>
      </c>
      <c r="V42" s="72" t="s">
        <v>41</v>
      </c>
      <c r="W42" s="150">
        <v>0.71230000000000004</v>
      </c>
      <c r="X42" s="113">
        <v>27521</v>
      </c>
      <c r="Y42" s="13"/>
      <c r="Z42" s="124"/>
      <c r="AF42" s="109"/>
      <c r="AG42" s="124"/>
    </row>
    <row r="43" spans="1:33" ht="18" customHeight="1" x14ac:dyDescent="0.2">
      <c r="A43" s="102">
        <v>11</v>
      </c>
      <c r="B43" s="210">
        <v>50</v>
      </c>
      <c r="C43" s="102">
        <v>4</v>
      </c>
      <c r="D43" s="102">
        <v>2</v>
      </c>
      <c r="E43" s="238"/>
      <c r="F43" s="198" t="s">
        <v>125</v>
      </c>
      <c r="G43" s="103">
        <v>5.347222222222222E-3</v>
      </c>
      <c r="H43" s="103">
        <v>5.208333333333333E-3</v>
      </c>
      <c r="I43" s="103">
        <f t="shared" si="4"/>
        <v>1.3888888888888892E-4</v>
      </c>
      <c r="J43" s="171">
        <f t="shared" si="6"/>
        <v>66.67</v>
      </c>
      <c r="K43" s="234"/>
      <c r="L43" s="43">
        <f t="shared" si="5"/>
        <v>64</v>
      </c>
      <c r="M43" s="13"/>
      <c r="N43" s="43">
        <f t="shared" si="7"/>
        <v>42</v>
      </c>
      <c r="O43" s="43">
        <v>36</v>
      </c>
      <c r="P43" s="68" t="s">
        <v>73</v>
      </c>
      <c r="Q43" s="101">
        <v>5.0925925925925921E-3</v>
      </c>
      <c r="R43" s="92">
        <f t="shared" si="8"/>
        <v>2.5462962962962961E-3</v>
      </c>
      <c r="S43" s="152"/>
      <c r="T43" s="43">
        <f t="shared" si="9"/>
        <v>42</v>
      </c>
      <c r="U43" s="43">
        <v>47</v>
      </c>
      <c r="V43" s="72" t="s">
        <v>69</v>
      </c>
      <c r="W43" s="150">
        <v>0.71199999999999997</v>
      </c>
      <c r="X43" s="113">
        <v>20133</v>
      </c>
      <c r="Y43" s="13"/>
      <c r="Z43" s="124"/>
      <c r="AF43" s="109"/>
      <c r="AG43" s="124"/>
    </row>
    <row r="44" spans="1:33" ht="18" customHeight="1" x14ac:dyDescent="0.2">
      <c r="A44" s="102">
        <v>11</v>
      </c>
      <c r="B44" s="210">
        <v>40</v>
      </c>
      <c r="C44" s="102">
        <v>3</v>
      </c>
      <c r="D44" s="102">
        <v>3</v>
      </c>
      <c r="E44" s="238"/>
      <c r="F44" s="198" t="s">
        <v>124</v>
      </c>
      <c r="G44" s="103">
        <v>5.1504629629629635E-3</v>
      </c>
      <c r="H44" s="103">
        <v>5.4398148148148149E-3</v>
      </c>
      <c r="I44" s="103">
        <f t="shared" si="4"/>
        <v>2.893518518518514E-4</v>
      </c>
      <c r="J44" s="171">
        <f t="shared" si="6"/>
        <v>66.67</v>
      </c>
      <c r="K44" s="234"/>
      <c r="L44" s="43">
        <f t="shared" si="5"/>
        <v>44</v>
      </c>
      <c r="M44" s="13"/>
      <c r="N44" s="43">
        <f t="shared" si="7"/>
        <v>43</v>
      </c>
      <c r="O44" s="43">
        <v>39</v>
      </c>
      <c r="P44" s="68" t="s">
        <v>321</v>
      </c>
      <c r="Q44" s="101">
        <v>5.1041666666666666E-3</v>
      </c>
      <c r="R44" s="92">
        <f t="shared" si="8"/>
        <v>2.5520833333333333E-3</v>
      </c>
      <c r="S44" s="152"/>
      <c r="T44" s="43">
        <f t="shared" si="9"/>
        <v>43</v>
      </c>
      <c r="U44" s="43">
        <v>36</v>
      </c>
      <c r="V44" s="72" t="s">
        <v>191</v>
      </c>
      <c r="W44" s="150">
        <v>0.71</v>
      </c>
      <c r="X44" s="113">
        <v>27347</v>
      </c>
      <c r="Y44" s="13"/>
      <c r="Z44" s="124"/>
      <c r="AF44" s="109"/>
      <c r="AG44" s="124"/>
    </row>
    <row r="45" spans="1:33" ht="18" customHeight="1" x14ac:dyDescent="0.2">
      <c r="A45" s="104">
        <v>11</v>
      </c>
      <c r="B45" s="211">
        <v>11</v>
      </c>
      <c r="C45" s="104">
        <v>1</v>
      </c>
      <c r="D45" s="104">
        <v>4</v>
      </c>
      <c r="E45" s="239"/>
      <c r="F45" s="199" t="s">
        <v>260</v>
      </c>
      <c r="G45" s="105">
        <v>4.6064814814814814E-3</v>
      </c>
      <c r="H45" s="105">
        <v>4.6296296296296302E-3</v>
      </c>
      <c r="I45" s="105">
        <f t="shared" si="4"/>
        <v>2.3148148148148875E-5</v>
      </c>
      <c r="J45" s="172">
        <f t="shared" si="6"/>
        <v>66.67</v>
      </c>
      <c r="K45" s="234"/>
      <c r="L45" s="43">
        <f t="shared" si="5"/>
        <v>26</v>
      </c>
      <c r="M45" s="13"/>
      <c r="N45" s="43">
        <f t="shared" si="7"/>
        <v>44</v>
      </c>
      <c r="O45" s="43">
        <v>56</v>
      </c>
      <c r="P45" s="68" t="s">
        <v>175</v>
      </c>
      <c r="Q45" s="101">
        <v>5.115740740740741E-3</v>
      </c>
      <c r="R45" s="92">
        <f t="shared" si="8"/>
        <v>2.5578703703703705E-3</v>
      </c>
      <c r="S45" s="152"/>
      <c r="T45" s="43">
        <f t="shared" si="9"/>
        <v>44</v>
      </c>
      <c r="U45" s="43">
        <v>26</v>
      </c>
      <c r="V45" s="72" t="s">
        <v>260</v>
      </c>
      <c r="W45" s="150">
        <v>0.70799999999999996</v>
      </c>
      <c r="X45" s="113">
        <v>33665</v>
      </c>
      <c r="Y45" s="13"/>
      <c r="Z45" s="124"/>
      <c r="AF45" s="109"/>
      <c r="AG45" s="124"/>
    </row>
    <row r="46" spans="1:33" ht="18" customHeight="1" x14ac:dyDescent="0.2">
      <c r="A46" s="100">
        <v>12</v>
      </c>
      <c r="B46" s="209">
        <v>29</v>
      </c>
      <c r="C46" s="100">
        <v>2</v>
      </c>
      <c r="D46" s="100">
        <v>1</v>
      </c>
      <c r="E46" s="235" t="s">
        <v>333</v>
      </c>
      <c r="F46" s="197" t="s">
        <v>116</v>
      </c>
      <c r="G46" s="101">
        <v>4.9768518518518521E-3</v>
      </c>
      <c r="H46" s="101">
        <v>5.0694444444444441E-3</v>
      </c>
      <c r="I46" s="101">
        <f t="shared" si="4"/>
        <v>9.2592592592592032E-5</v>
      </c>
      <c r="J46" s="170">
        <f t="shared" si="6"/>
        <v>63.33</v>
      </c>
      <c r="K46" s="234">
        <f>SUM(H46:H49)</f>
        <v>2.011574074074074E-2</v>
      </c>
      <c r="L46" s="43">
        <f t="shared" si="5"/>
        <v>42</v>
      </c>
      <c r="M46" s="13"/>
      <c r="N46" s="43">
        <f t="shared" si="7"/>
        <v>45</v>
      </c>
      <c r="O46" s="43">
        <v>47</v>
      </c>
      <c r="P46" s="68" t="s">
        <v>69</v>
      </c>
      <c r="Q46" s="101">
        <v>5.138888888888889E-3</v>
      </c>
      <c r="R46" s="92">
        <f t="shared" si="8"/>
        <v>2.5694444444444445E-3</v>
      </c>
      <c r="S46" s="152"/>
      <c r="T46" s="43">
        <f t="shared" si="9"/>
        <v>45</v>
      </c>
      <c r="U46" s="43">
        <v>40</v>
      </c>
      <c r="V46" s="72" t="s">
        <v>105</v>
      </c>
      <c r="W46" s="150">
        <v>0.69850000000000001</v>
      </c>
      <c r="X46" s="113">
        <v>28142</v>
      </c>
      <c r="Y46" s="13"/>
      <c r="Z46" s="124"/>
      <c r="AC46" s="13"/>
      <c r="AF46" s="109"/>
      <c r="AG46" s="124"/>
    </row>
    <row r="47" spans="1:33" ht="18" customHeight="1" x14ac:dyDescent="0.2">
      <c r="A47" s="102">
        <v>12</v>
      </c>
      <c r="B47" s="210">
        <v>25</v>
      </c>
      <c r="C47" s="102">
        <v>2</v>
      </c>
      <c r="D47" s="102">
        <v>2</v>
      </c>
      <c r="E47" s="238"/>
      <c r="F47" s="198" t="s">
        <v>55</v>
      </c>
      <c r="G47" s="103">
        <v>4.9421296296296288E-3</v>
      </c>
      <c r="H47" s="103">
        <v>5.0462962962962961E-3</v>
      </c>
      <c r="I47" s="103">
        <f t="shared" si="4"/>
        <v>1.0416666666666734E-4</v>
      </c>
      <c r="J47" s="171">
        <f t="shared" si="6"/>
        <v>63.33</v>
      </c>
      <c r="K47" s="234"/>
      <c r="L47" s="43">
        <f t="shared" si="5"/>
        <v>49</v>
      </c>
      <c r="M47" s="13"/>
      <c r="N47" s="43">
        <f t="shared" si="7"/>
        <v>46</v>
      </c>
      <c r="O47" s="43">
        <v>41</v>
      </c>
      <c r="P47" s="68" t="s">
        <v>325</v>
      </c>
      <c r="Q47" s="101">
        <v>5.1504629629629635E-3</v>
      </c>
      <c r="R47" s="92">
        <f t="shared" si="8"/>
        <v>2.5752314814814817E-3</v>
      </c>
      <c r="S47" s="152"/>
      <c r="T47" s="43">
        <f t="shared" si="9"/>
        <v>46</v>
      </c>
      <c r="U47" s="43">
        <v>41</v>
      </c>
      <c r="V47" s="72" t="s">
        <v>90</v>
      </c>
      <c r="W47" s="150">
        <v>0.69720000000000004</v>
      </c>
      <c r="X47" s="113">
        <v>25581</v>
      </c>
      <c r="Y47" s="13"/>
      <c r="Z47" s="124"/>
      <c r="AF47" s="109"/>
      <c r="AG47" s="124"/>
    </row>
    <row r="48" spans="1:33" ht="18" customHeight="1" x14ac:dyDescent="0.2">
      <c r="A48" s="102">
        <v>12</v>
      </c>
      <c r="B48" s="210">
        <v>58</v>
      </c>
      <c r="C48" s="102">
        <v>4</v>
      </c>
      <c r="D48" s="102">
        <v>3</v>
      </c>
      <c r="E48" s="238"/>
      <c r="F48" s="198" t="s">
        <v>362</v>
      </c>
      <c r="G48" s="103">
        <v>6.0185185185185177E-3</v>
      </c>
      <c r="H48" s="103">
        <v>6.0185185185185177E-3</v>
      </c>
      <c r="I48" s="103">
        <f t="shared" si="4"/>
        <v>0</v>
      </c>
      <c r="J48" s="171">
        <f t="shared" si="6"/>
        <v>63.33</v>
      </c>
      <c r="K48" s="234"/>
      <c r="L48" s="43">
        <f t="shared" si="5"/>
        <v>37</v>
      </c>
      <c r="M48" s="13"/>
      <c r="N48" s="43">
        <f t="shared" si="7"/>
        <v>47</v>
      </c>
      <c r="O48" s="43">
        <v>36</v>
      </c>
      <c r="P48" s="68" t="s">
        <v>287</v>
      </c>
      <c r="Q48" s="101">
        <v>5.162037037037037E-3</v>
      </c>
      <c r="R48" s="92">
        <f t="shared" si="8"/>
        <v>2.5810185185185185E-3</v>
      </c>
      <c r="S48" s="152"/>
      <c r="T48" s="43">
        <f t="shared" si="9"/>
        <v>47</v>
      </c>
      <c r="U48" s="43">
        <v>49</v>
      </c>
      <c r="V48" s="72" t="s">
        <v>47</v>
      </c>
      <c r="W48" s="150">
        <v>0.69520000000000004</v>
      </c>
      <c r="X48" s="113">
        <v>29767</v>
      </c>
      <c r="Y48" s="13"/>
      <c r="Z48" s="124"/>
      <c r="AF48" s="109"/>
      <c r="AG48" s="124"/>
    </row>
    <row r="49" spans="1:33" ht="18" customHeight="1" x14ac:dyDescent="0.2">
      <c r="A49" s="104">
        <v>12</v>
      </c>
      <c r="B49" s="211">
        <v>3</v>
      </c>
      <c r="C49" s="104">
        <v>1</v>
      </c>
      <c r="D49" s="104">
        <v>4</v>
      </c>
      <c r="E49" s="239"/>
      <c r="F49" s="199" t="s">
        <v>137</v>
      </c>
      <c r="G49" s="105">
        <v>4.2592592592592595E-3</v>
      </c>
      <c r="H49" s="105">
        <v>3.9814814814814817E-3</v>
      </c>
      <c r="I49" s="105">
        <f t="shared" si="4"/>
        <v>2.7777777777777783E-4</v>
      </c>
      <c r="J49" s="172">
        <f t="shared" si="6"/>
        <v>63.33</v>
      </c>
      <c r="K49" s="234"/>
      <c r="L49" s="43">
        <f t="shared" si="5"/>
        <v>33</v>
      </c>
      <c r="M49" s="13"/>
      <c r="N49" s="43">
        <f t="shared" si="7"/>
        <v>48</v>
      </c>
      <c r="O49" s="43">
        <v>36</v>
      </c>
      <c r="P49" s="68" t="s">
        <v>257</v>
      </c>
      <c r="Q49" s="101">
        <v>5.1736111111111115E-3</v>
      </c>
      <c r="R49" s="92">
        <f t="shared" si="8"/>
        <v>2.5868055555555557E-3</v>
      </c>
      <c r="S49" s="152"/>
      <c r="T49" s="43">
        <f t="shared" si="9"/>
        <v>48</v>
      </c>
      <c r="U49" s="73">
        <v>41</v>
      </c>
      <c r="V49" s="72" t="s">
        <v>46</v>
      </c>
      <c r="W49" s="150">
        <v>0.69089999999999996</v>
      </c>
      <c r="X49" s="113">
        <v>31147</v>
      </c>
      <c r="Y49" s="13"/>
      <c r="Z49" s="124"/>
      <c r="AF49" s="109"/>
      <c r="AG49" s="124"/>
    </row>
    <row r="50" spans="1:33" ht="18" customHeight="1" x14ac:dyDescent="0.2">
      <c r="A50" s="100">
        <v>13</v>
      </c>
      <c r="B50" s="209">
        <v>31</v>
      </c>
      <c r="C50" s="100">
        <v>3</v>
      </c>
      <c r="D50" s="100">
        <v>1</v>
      </c>
      <c r="E50" s="235" t="s">
        <v>334</v>
      </c>
      <c r="F50" s="205" t="s">
        <v>69</v>
      </c>
      <c r="G50" s="101">
        <v>5.0000000000000001E-3</v>
      </c>
      <c r="H50" s="101">
        <v>5.138888888888889E-3</v>
      </c>
      <c r="I50" s="101">
        <f t="shared" si="4"/>
        <v>1.3888888888888892E-4</v>
      </c>
      <c r="J50" s="170">
        <f t="shared" si="6"/>
        <v>60</v>
      </c>
      <c r="K50" s="234">
        <f>SUM(H50:H53)</f>
        <v>2.0162037037037037E-2</v>
      </c>
      <c r="L50" s="43">
        <f t="shared" si="5"/>
        <v>47</v>
      </c>
      <c r="M50" s="13"/>
      <c r="N50" s="43">
        <f t="shared" si="7"/>
        <v>49</v>
      </c>
      <c r="O50" s="43">
        <v>64</v>
      </c>
      <c r="P50" s="72" t="s">
        <v>125</v>
      </c>
      <c r="Q50" s="101">
        <v>5.208333333333333E-3</v>
      </c>
      <c r="R50" s="92">
        <f t="shared" si="8"/>
        <v>2.6041666666666665E-3</v>
      </c>
      <c r="S50" s="152"/>
      <c r="T50" s="43">
        <f t="shared" si="9"/>
        <v>49</v>
      </c>
      <c r="U50" s="43">
        <v>51</v>
      </c>
      <c r="V50" s="72" t="s">
        <v>44</v>
      </c>
      <c r="W50" s="150">
        <v>0.68</v>
      </c>
      <c r="X50" s="113">
        <v>25984</v>
      </c>
      <c r="Y50" s="13"/>
      <c r="Z50" s="124"/>
      <c r="AF50" s="109"/>
      <c r="AG50" s="124"/>
    </row>
    <row r="51" spans="1:33" ht="18" customHeight="1" x14ac:dyDescent="0.2">
      <c r="A51" s="102">
        <v>13</v>
      </c>
      <c r="B51" s="210">
        <v>59</v>
      </c>
      <c r="C51" s="102">
        <v>4</v>
      </c>
      <c r="D51" s="102">
        <v>2</v>
      </c>
      <c r="E51" s="238"/>
      <c r="F51" s="203" t="s">
        <v>335</v>
      </c>
      <c r="G51" s="103">
        <v>6.168981481481481E-3</v>
      </c>
      <c r="H51" s="103">
        <v>5.6134259259259271E-3</v>
      </c>
      <c r="I51" s="103">
        <f t="shared" si="4"/>
        <v>5.5555555555555393E-4</v>
      </c>
      <c r="J51" s="171">
        <f t="shared" si="6"/>
        <v>60</v>
      </c>
      <c r="K51" s="234"/>
      <c r="L51" s="43">
        <f t="shared" si="5"/>
        <v>44</v>
      </c>
      <c r="M51" s="13"/>
      <c r="N51" s="43">
        <f t="shared" si="7"/>
        <v>50</v>
      </c>
      <c r="O51" s="43">
        <v>52</v>
      </c>
      <c r="P51" s="72" t="s">
        <v>41</v>
      </c>
      <c r="Q51" s="101">
        <v>5.347222222222222E-3</v>
      </c>
      <c r="R51" s="92">
        <f t="shared" si="8"/>
        <v>2.673611111111111E-3</v>
      </c>
      <c r="S51" s="152"/>
      <c r="T51" s="43">
        <f t="shared" si="9"/>
        <v>50</v>
      </c>
      <c r="U51" s="43">
        <v>41</v>
      </c>
      <c r="V51" s="72" t="s">
        <v>325</v>
      </c>
      <c r="W51" s="150">
        <v>0.67849999999999999</v>
      </c>
      <c r="X51" s="113">
        <v>27406</v>
      </c>
      <c r="Y51" s="13"/>
      <c r="Z51" s="124"/>
      <c r="AF51" s="109"/>
      <c r="AG51" s="124"/>
    </row>
    <row r="52" spans="1:33" ht="18" customHeight="1" x14ac:dyDescent="0.2">
      <c r="A52" s="102">
        <v>13</v>
      </c>
      <c r="B52" s="210">
        <v>30</v>
      </c>
      <c r="C52" s="102">
        <v>2</v>
      </c>
      <c r="D52" s="102">
        <v>3</v>
      </c>
      <c r="E52" s="238"/>
      <c r="F52" s="203" t="s">
        <v>175</v>
      </c>
      <c r="G52" s="103">
        <v>4.9884259259259265E-3</v>
      </c>
      <c r="H52" s="103">
        <v>5.115740740740741E-3</v>
      </c>
      <c r="I52" s="103">
        <f t="shared" si="4"/>
        <v>1.2731481481481448E-4</v>
      </c>
      <c r="J52" s="171">
        <f t="shared" si="6"/>
        <v>60</v>
      </c>
      <c r="K52" s="234"/>
      <c r="L52" s="43">
        <f t="shared" si="5"/>
        <v>56</v>
      </c>
      <c r="M52" s="13"/>
      <c r="N52" s="43">
        <f t="shared" si="7"/>
        <v>50</v>
      </c>
      <c r="O52" s="43">
        <v>49</v>
      </c>
      <c r="P52" s="68" t="s">
        <v>47</v>
      </c>
      <c r="Q52" s="101">
        <v>5.347222222222222E-3</v>
      </c>
      <c r="R52" s="92">
        <f t="shared" si="8"/>
        <v>2.673611111111111E-3</v>
      </c>
      <c r="S52" s="152"/>
      <c r="T52" s="43">
        <f t="shared" si="9"/>
        <v>51</v>
      </c>
      <c r="U52" s="43">
        <v>37</v>
      </c>
      <c r="V52" s="72" t="s">
        <v>80</v>
      </c>
      <c r="W52" s="150">
        <v>0.67379999999999995</v>
      </c>
      <c r="X52" s="113">
        <v>22905</v>
      </c>
      <c r="Y52" s="13"/>
      <c r="Z52" s="124"/>
      <c r="AF52" s="109"/>
      <c r="AG52" s="124"/>
    </row>
    <row r="53" spans="1:33" ht="18" customHeight="1" x14ac:dyDescent="0.2">
      <c r="A53" s="104">
        <v>13</v>
      </c>
      <c r="B53" s="211">
        <v>2</v>
      </c>
      <c r="C53" s="104">
        <v>1</v>
      </c>
      <c r="D53" s="104">
        <v>4</v>
      </c>
      <c r="E53" s="239"/>
      <c r="F53" s="202" t="s">
        <v>145</v>
      </c>
      <c r="G53" s="105">
        <v>4.2476851851851851E-3</v>
      </c>
      <c r="H53" s="105">
        <v>4.2939814814814811E-3</v>
      </c>
      <c r="I53" s="105">
        <f t="shared" si="4"/>
        <v>4.6296296296296016E-5</v>
      </c>
      <c r="J53" s="172">
        <f t="shared" si="6"/>
        <v>60</v>
      </c>
      <c r="K53" s="234"/>
      <c r="L53" s="43">
        <f t="shared" si="5"/>
        <v>35</v>
      </c>
      <c r="M53" s="13"/>
      <c r="N53" s="43">
        <f t="shared" si="7"/>
        <v>52</v>
      </c>
      <c r="O53" s="43">
        <v>37</v>
      </c>
      <c r="P53" s="68" t="s">
        <v>106</v>
      </c>
      <c r="Q53" s="101">
        <v>5.3587962962962964E-3</v>
      </c>
      <c r="R53" s="92">
        <f t="shared" si="8"/>
        <v>2.6793981481481482E-3</v>
      </c>
      <c r="S53" s="152"/>
      <c r="T53" s="43">
        <f t="shared" si="9"/>
        <v>52</v>
      </c>
      <c r="U53" s="43">
        <v>34</v>
      </c>
      <c r="V53" s="72" t="s">
        <v>173</v>
      </c>
      <c r="W53" s="150">
        <v>0.66469999999999996</v>
      </c>
      <c r="X53" s="113">
        <v>30631</v>
      </c>
      <c r="Y53" s="13"/>
      <c r="Z53" s="124"/>
      <c r="AF53" s="109"/>
      <c r="AG53" s="124"/>
    </row>
    <row r="54" spans="1:33" ht="18" customHeight="1" x14ac:dyDescent="0.2">
      <c r="A54" s="100">
        <v>14</v>
      </c>
      <c r="B54" s="212">
        <v>33</v>
      </c>
      <c r="C54" s="100">
        <v>3</v>
      </c>
      <c r="D54" s="194">
        <v>1</v>
      </c>
      <c r="E54" s="243" t="s">
        <v>336</v>
      </c>
      <c r="F54" s="206" t="s">
        <v>91</v>
      </c>
      <c r="G54" s="101">
        <v>5.0231481481481481E-3</v>
      </c>
      <c r="H54" s="101">
        <v>4.9537037037037041E-3</v>
      </c>
      <c r="I54" s="101">
        <f t="shared" si="4"/>
        <v>6.9444444444444024E-5</v>
      </c>
      <c r="J54" s="170">
        <f t="shared" si="6"/>
        <v>56.67</v>
      </c>
      <c r="K54" s="234">
        <f>SUM(H54:H57)</f>
        <v>2.0300925925925924E-2</v>
      </c>
      <c r="L54" s="43">
        <f t="shared" si="5"/>
        <v>44</v>
      </c>
      <c r="M54" s="13"/>
      <c r="N54" s="43">
        <f t="shared" si="7"/>
        <v>53</v>
      </c>
      <c r="O54" s="43">
        <v>44</v>
      </c>
      <c r="P54" s="68" t="s">
        <v>124</v>
      </c>
      <c r="Q54" s="101">
        <v>5.4398148148148149E-3</v>
      </c>
      <c r="R54" s="92">
        <f t="shared" si="8"/>
        <v>2.7199074074074074E-3</v>
      </c>
      <c r="S54" s="152"/>
      <c r="T54" s="43">
        <f t="shared" si="9"/>
        <v>53</v>
      </c>
      <c r="U54" s="43">
        <v>36</v>
      </c>
      <c r="V54" s="72" t="s">
        <v>73</v>
      </c>
      <c r="W54" s="150">
        <v>0.66159999999999997</v>
      </c>
      <c r="X54" s="113">
        <v>27190</v>
      </c>
      <c r="Y54" s="13"/>
      <c r="Z54" s="124"/>
      <c r="AF54" s="109"/>
      <c r="AG54" s="124"/>
    </row>
    <row r="55" spans="1:33" ht="18" customHeight="1" x14ac:dyDescent="0.2">
      <c r="A55" s="102">
        <v>14</v>
      </c>
      <c r="B55" s="213">
        <v>57</v>
      </c>
      <c r="C55" s="102">
        <v>4</v>
      </c>
      <c r="D55" s="195">
        <v>2</v>
      </c>
      <c r="E55" s="244"/>
      <c r="F55" s="207" t="s">
        <v>337</v>
      </c>
      <c r="G55" s="103">
        <v>5.9259259259259256E-3</v>
      </c>
      <c r="H55" s="103">
        <v>5.8680555555555543E-3</v>
      </c>
      <c r="I55" s="103">
        <f t="shared" si="4"/>
        <v>5.7870370370371321E-5</v>
      </c>
      <c r="J55" s="171">
        <f t="shared" si="6"/>
        <v>56.67</v>
      </c>
      <c r="K55" s="234"/>
      <c r="L55" s="43">
        <f t="shared" si="5"/>
        <v>54</v>
      </c>
      <c r="M55" s="13"/>
      <c r="N55" s="43">
        <f t="shared" si="7"/>
        <v>54</v>
      </c>
      <c r="O55" s="43">
        <v>47</v>
      </c>
      <c r="P55" s="72" t="s">
        <v>132</v>
      </c>
      <c r="Q55" s="101">
        <v>5.4745370370370373E-3</v>
      </c>
      <c r="R55" s="92">
        <f t="shared" si="8"/>
        <v>2.7372685185185187E-3</v>
      </c>
      <c r="S55" s="152"/>
      <c r="T55" s="43">
        <f t="shared" si="9"/>
        <v>54</v>
      </c>
      <c r="U55" s="43">
        <v>44</v>
      </c>
      <c r="V55" s="72" t="s">
        <v>124</v>
      </c>
      <c r="W55" s="150">
        <v>0.65720000000000001</v>
      </c>
      <c r="X55" s="113">
        <v>23628</v>
      </c>
      <c r="Y55" s="13"/>
      <c r="Z55" s="124"/>
      <c r="AF55" s="109"/>
      <c r="AG55" s="124"/>
    </row>
    <row r="56" spans="1:33" ht="18" customHeight="1" x14ac:dyDescent="0.2">
      <c r="A56" s="102">
        <v>14</v>
      </c>
      <c r="B56" s="213">
        <v>32</v>
      </c>
      <c r="C56" s="102">
        <v>3</v>
      </c>
      <c r="D56" s="195">
        <v>3</v>
      </c>
      <c r="E56" s="244"/>
      <c r="F56" s="203" t="s">
        <v>212</v>
      </c>
      <c r="G56" s="103">
        <v>5.0115740740740737E-3</v>
      </c>
      <c r="H56" s="103">
        <v>5.0578703703703706E-3</v>
      </c>
      <c r="I56" s="103">
        <f t="shared" si="4"/>
        <v>4.6296296296296884E-5</v>
      </c>
      <c r="J56" s="171">
        <f t="shared" si="6"/>
        <v>56.67</v>
      </c>
      <c r="K56" s="234"/>
      <c r="L56" s="43">
        <f t="shared" si="5"/>
        <v>25</v>
      </c>
      <c r="M56" s="13"/>
      <c r="N56" s="43">
        <f t="shared" si="7"/>
        <v>55</v>
      </c>
      <c r="O56" s="43">
        <v>51</v>
      </c>
      <c r="P56" s="68" t="s">
        <v>44</v>
      </c>
      <c r="Q56" s="101">
        <v>5.5555555555555558E-3</v>
      </c>
      <c r="R56" s="92">
        <f t="shared" si="8"/>
        <v>2.7777777777777779E-3</v>
      </c>
      <c r="S56" s="152"/>
      <c r="T56" s="43">
        <f t="shared" si="9"/>
        <v>55</v>
      </c>
      <c r="U56" s="43">
        <v>36</v>
      </c>
      <c r="V56" s="72" t="s">
        <v>287</v>
      </c>
      <c r="W56" s="150">
        <v>0.65269999999999995</v>
      </c>
      <c r="X56" s="113">
        <v>34343</v>
      </c>
      <c r="Y56" s="13"/>
      <c r="Z56" s="124"/>
      <c r="AF56" s="109"/>
      <c r="AG56" s="124"/>
    </row>
    <row r="57" spans="1:33" ht="18" customHeight="1" x14ac:dyDescent="0.2">
      <c r="A57" s="104">
        <v>14</v>
      </c>
      <c r="B57" s="214">
        <v>4</v>
      </c>
      <c r="C57" s="104">
        <v>1</v>
      </c>
      <c r="D57" s="196">
        <v>4</v>
      </c>
      <c r="E57" s="245"/>
      <c r="F57" s="208" t="s">
        <v>85</v>
      </c>
      <c r="G57" s="105">
        <v>4.3287037037037035E-3</v>
      </c>
      <c r="H57" s="105">
        <v>4.4212962962962956E-3</v>
      </c>
      <c r="I57" s="105">
        <f t="shared" si="4"/>
        <v>9.2592592592592032E-5</v>
      </c>
      <c r="J57" s="172">
        <f t="shared" si="6"/>
        <v>56.67</v>
      </c>
      <c r="K57" s="234"/>
      <c r="L57" s="43">
        <f t="shared" si="5"/>
        <v>44</v>
      </c>
      <c r="M57" s="13"/>
      <c r="N57" s="43">
        <f t="shared" si="7"/>
        <v>56</v>
      </c>
      <c r="O57" s="43">
        <v>44</v>
      </c>
      <c r="P57" s="68" t="s">
        <v>335</v>
      </c>
      <c r="Q57" s="101">
        <v>5.6134259259259271E-3</v>
      </c>
      <c r="R57" s="92">
        <f t="shared" si="8"/>
        <v>2.8067129629629635E-3</v>
      </c>
      <c r="S57" s="152"/>
      <c r="T57" s="43">
        <f t="shared" si="9"/>
        <v>56</v>
      </c>
      <c r="U57" s="43">
        <v>25</v>
      </c>
      <c r="V57" s="72" t="s">
        <v>212</v>
      </c>
      <c r="W57" s="150">
        <v>0.64810000000000001</v>
      </c>
      <c r="X57" s="113">
        <v>27296</v>
      </c>
      <c r="Y57" s="13"/>
      <c r="Z57" s="124"/>
      <c r="AF57" s="109"/>
      <c r="AG57" s="124"/>
    </row>
    <row r="58" spans="1:33" ht="18" customHeight="1" x14ac:dyDescent="0.2">
      <c r="A58" s="100">
        <v>15</v>
      </c>
      <c r="B58" s="212">
        <v>56</v>
      </c>
      <c r="C58" s="100">
        <v>4</v>
      </c>
      <c r="D58" s="100">
        <v>1</v>
      </c>
      <c r="E58" s="240" t="s">
        <v>338</v>
      </c>
      <c r="F58" s="200" t="s">
        <v>44</v>
      </c>
      <c r="G58" s="101">
        <v>5.7870370370370376E-3</v>
      </c>
      <c r="H58" s="101">
        <v>5.5555555555555558E-3</v>
      </c>
      <c r="I58" s="101">
        <f t="shared" si="4"/>
        <v>2.3148148148148182E-4</v>
      </c>
      <c r="J58" s="170">
        <f t="shared" si="6"/>
        <v>53.33</v>
      </c>
      <c r="K58" s="234">
        <f>SUM(H58:H61)</f>
        <v>2.0335648148148148E-2</v>
      </c>
      <c r="L58" s="43">
        <f t="shared" si="5"/>
        <v>51</v>
      </c>
      <c r="M58" s="13"/>
      <c r="N58" s="43">
        <f t="shared" si="7"/>
        <v>57</v>
      </c>
      <c r="O58" s="43">
        <v>44</v>
      </c>
      <c r="P58" s="68" t="s">
        <v>67</v>
      </c>
      <c r="Q58" s="101">
        <v>5.7523148148148143E-3</v>
      </c>
      <c r="R58" s="92">
        <f t="shared" si="8"/>
        <v>2.8761574074074071E-3</v>
      </c>
      <c r="S58" s="152"/>
      <c r="T58" s="43">
        <f t="shared" si="9"/>
        <v>57</v>
      </c>
      <c r="U58" s="43">
        <v>34</v>
      </c>
      <c r="V58" s="72" t="s">
        <v>263</v>
      </c>
      <c r="W58" s="150">
        <v>0.64149999999999996</v>
      </c>
      <c r="X58" s="113">
        <v>24862</v>
      </c>
      <c r="Y58" s="13"/>
      <c r="Z58" s="124"/>
      <c r="AF58" s="109"/>
      <c r="AG58" s="124"/>
    </row>
    <row r="59" spans="1:33" ht="18" customHeight="1" x14ac:dyDescent="0.2">
      <c r="A59" s="102">
        <v>15</v>
      </c>
      <c r="B59" s="213">
        <v>24</v>
      </c>
      <c r="C59" s="102">
        <v>2</v>
      </c>
      <c r="D59" s="102">
        <v>2</v>
      </c>
      <c r="E59" s="241"/>
      <c r="F59" s="201" t="s">
        <v>59</v>
      </c>
      <c r="G59" s="103">
        <v>4.9189814814814816E-3</v>
      </c>
      <c r="H59" s="103">
        <v>4.9652777777777777E-3</v>
      </c>
      <c r="I59" s="103">
        <f t="shared" si="4"/>
        <v>4.6296296296296016E-5</v>
      </c>
      <c r="J59" s="171">
        <f t="shared" si="6"/>
        <v>53.33</v>
      </c>
      <c r="K59" s="234"/>
      <c r="L59" s="43">
        <f t="shared" si="5"/>
        <v>46</v>
      </c>
      <c r="M59" s="13"/>
      <c r="N59" s="43">
        <f t="shared" si="7"/>
        <v>58</v>
      </c>
      <c r="O59" s="43">
        <v>34</v>
      </c>
      <c r="P59" s="72" t="s">
        <v>263</v>
      </c>
      <c r="Q59" s="101">
        <v>5.8680555555555543E-3</v>
      </c>
      <c r="R59" s="92">
        <f t="shared" si="8"/>
        <v>2.9340277777777772E-3</v>
      </c>
      <c r="S59" s="152"/>
      <c r="T59" s="43">
        <f t="shared" si="9"/>
        <v>58</v>
      </c>
      <c r="U59" s="43">
        <v>37</v>
      </c>
      <c r="V59" s="72" t="s">
        <v>106</v>
      </c>
      <c r="W59" s="150">
        <v>0.6331</v>
      </c>
      <c r="X59" s="113">
        <v>26469</v>
      </c>
      <c r="Y59" s="13"/>
      <c r="Z59" s="124"/>
      <c r="AF59" s="109"/>
      <c r="AG59" s="124"/>
    </row>
    <row r="60" spans="1:33" ht="18" customHeight="1" x14ac:dyDescent="0.2">
      <c r="A60" s="102">
        <v>15</v>
      </c>
      <c r="B60" s="213">
        <v>44</v>
      </c>
      <c r="C60" s="102">
        <v>3</v>
      </c>
      <c r="D60" s="102">
        <v>3</v>
      </c>
      <c r="E60" s="241"/>
      <c r="F60" s="201" t="s">
        <v>47</v>
      </c>
      <c r="G60" s="103">
        <v>5.2314814814814819E-3</v>
      </c>
      <c r="H60" s="103">
        <v>5.347222222222222E-3</v>
      </c>
      <c r="I60" s="103">
        <f t="shared" si="4"/>
        <v>1.1574074074074004E-4</v>
      </c>
      <c r="J60" s="171">
        <f t="shared" si="6"/>
        <v>53.33</v>
      </c>
      <c r="K60" s="234"/>
      <c r="L60" s="43">
        <f t="shared" si="5"/>
        <v>49</v>
      </c>
      <c r="M60" s="13"/>
      <c r="N60" s="43">
        <f t="shared" si="7"/>
        <v>58</v>
      </c>
      <c r="O60" s="43">
        <v>54</v>
      </c>
      <c r="P60" s="68" t="s">
        <v>337</v>
      </c>
      <c r="Q60" s="101">
        <v>5.8680555555555543E-3</v>
      </c>
      <c r="R60" s="92">
        <f t="shared" si="8"/>
        <v>2.9340277777777772E-3</v>
      </c>
      <c r="S60" s="152"/>
      <c r="T60" s="43">
        <f t="shared" si="9"/>
        <v>59</v>
      </c>
      <c r="U60" s="43">
        <v>44</v>
      </c>
      <c r="V60" s="72" t="s">
        <v>67</v>
      </c>
      <c r="W60" s="150">
        <v>0.62150000000000005</v>
      </c>
      <c r="X60" s="113">
        <v>25493</v>
      </c>
      <c r="Y60" s="13"/>
      <c r="Z60" s="124"/>
      <c r="AF60" s="109"/>
      <c r="AG60" s="124"/>
    </row>
    <row r="61" spans="1:33" ht="18" customHeight="1" x14ac:dyDescent="0.2">
      <c r="A61" s="104">
        <v>15</v>
      </c>
      <c r="B61" s="214">
        <v>6</v>
      </c>
      <c r="C61" s="104">
        <v>1</v>
      </c>
      <c r="D61" s="104">
        <v>4</v>
      </c>
      <c r="E61" s="242"/>
      <c r="F61" s="202" t="s">
        <v>343</v>
      </c>
      <c r="G61" s="105">
        <v>4.386574074074074E-3</v>
      </c>
      <c r="H61" s="105">
        <v>4.4675925925925933E-3</v>
      </c>
      <c r="I61" s="105">
        <f t="shared" si="4"/>
        <v>8.1018518518519329E-5</v>
      </c>
      <c r="J61" s="172">
        <f t="shared" si="6"/>
        <v>53.33</v>
      </c>
      <c r="K61" s="234"/>
      <c r="L61" s="43">
        <f t="shared" si="5"/>
        <v>47</v>
      </c>
      <c r="M61" s="13"/>
      <c r="N61" s="43">
        <f t="shared" si="7"/>
        <v>60</v>
      </c>
      <c r="O61" s="43">
        <v>37</v>
      </c>
      <c r="P61" s="68" t="s">
        <v>362</v>
      </c>
      <c r="Q61" s="101">
        <v>6.0185185185185177E-3</v>
      </c>
      <c r="R61" s="92">
        <f t="shared" si="8"/>
        <v>3.0092592592592588E-3</v>
      </c>
      <c r="S61" s="152"/>
      <c r="T61" s="43">
        <f t="shared" si="9"/>
        <v>60</v>
      </c>
      <c r="U61" s="43">
        <v>37</v>
      </c>
      <c r="V61" s="72" t="s">
        <v>362</v>
      </c>
      <c r="W61" s="150">
        <v>0.56369999999999998</v>
      </c>
      <c r="X61" s="113">
        <v>26152</v>
      </c>
      <c r="Y61" s="13"/>
      <c r="Z61" s="124"/>
      <c r="AF61" s="109"/>
      <c r="AG61" s="124"/>
    </row>
    <row r="62" spans="1:33" ht="18" customHeight="1" x14ac:dyDescent="0.2"/>
    <row r="63" spans="1:33" ht="18" customHeight="1" x14ac:dyDescent="0.2">
      <c r="A63" s="43" t="s">
        <v>26</v>
      </c>
      <c r="B63" s="60">
        <v>15</v>
      </c>
      <c r="D63" s="74"/>
      <c r="E63" s="74"/>
    </row>
    <row r="64" spans="1:33" ht="18" customHeight="1" x14ac:dyDescent="0.2"/>
    <row r="65" spans="1:19" ht="18" customHeight="1" x14ac:dyDescent="0.2">
      <c r="A65" s="43" t="s">
        <v>15</v>
      </c>
      <c r="B65" s="43">
        <v>1</v>
      </c>
      <c r="D65" s="94"/>
      <c r="F65" s="69" t="s">
        <v>250</v>
      </c>
      <c r="G65" s="114"/>
      <c r="H65" s="43"/>
      <c r="I65" s="43"/>
      <c r="J65" s="43">
        <f>VLOOKUP(ROUNDUP($B$63*0.4,0),$A$2:$J$61,10,FALSE)</f>
        <v>83.33</v>
      </c>
    </row>
    <row r="66" spans="1:19" ht="18" customHeight="1" x14ac:dyDescent="0.2">
      <c r="B66" s="43">
        <v>2</v>
      </c>
      <c r="D66" s="94"/>
      <c r="F66" s="69" t="s">
        <v>249</v>
      </c>
      <c r="G66" s="114"/>
      <c r="H66" s="43"/>
      <c r="I66" s="43"/>
      <c r="J66" s="43">
        <f t="shared" ref="J66:J67" si="10">VLOOKUP(ROUNDUP($B$63*0.4,0),$A$2:$J$61,10,FALSE)</f>
        <v>83.33</v>
      </c>
    </row>
    <row r="67" spans="1:19" ht="18" customHeight="1" x14ac:dyDescent="0.2">
      <c r="B67" s="43">
        <v>3</v>
      </c>
      <c r="D67" s="94"/>
      <c r="F67" s="69" t="s">
        <v>372</v>
      </c>
      <c r="G67" s="114"/>
      <c r="H67" s="43"/>
      <c r="I67" s="43"/>
      <c r="J67" s="43">
        <f t="shared" si="10"/>
        <v>83.33</v>
      </c>
    </row>
    <row r="68" spans="1:19" ht="18" customHeight="1" x14ac:dyDescent="0.2"/>
    <row r="69" spans="1:19" ht="18" customHeight="1" x14ac:dyDescent="0.2">
      <c r="F69" t="s">
        <v>28</v>
      </c>
      <c r="J69" s="43">
        <f>SUM(J2:J67)</f>
        <v>4849.99</v>
      </c>
    </row>
    <row r="73" spans="1:19" x14ac:dyDescent="0.2">
      <c r="S73" s="152"/>
    </row>
  </sheetData>
  <sheetProtection algorithmName="SHA-512" hashValue="lY2oZWftZ2f8pyuhvrHBdf+JrItRinXDkB39hSoGf0mLSfkdlgyhrb4RYtPbPXGQbSoWv76CkSRNH9PVEipqZA==" saltValue="z1lmQquTzyRXKSmVBVjcjQ==" spinCount="100000" sheet="1" objects="1" scenarios="1"/>
  <sortState xmlns:xlrd2="http://schemas.microsoft.com/office/spreadsheetml/2017/richdata2" ref="N2:R61">
    <sortCondition ref="N2:N61"/>
  </sortState>
  <mergeCells count="30">
    <mergeCell ref="E58:E61"/>
    <mergeCell ref="E42:E45"/>
    <mergeCell ref="E46:E49"/>
    <mergeCell ref="E50:E53"/>
    <mergeCell ref="E54:E57"/>
    <mergeCell ref="E22:E25"/>
    <mergeCell ref="E26:E29"/>
    <mergeCell ref="E30:E33"/>
    <mergeCell ref="E34:E37"/>
    <mergeCell ref="E38:E41"/>
    <mergeCell ref="E2:E5"/>
    <mergeCell ref="E6:E9"/>
    <mergeCell ref="E10:E13"/>
    <mergeCell ref="E14:E17"/>
    <mergeCell ref="E18:E21"/>
    <mergeCell ref="K58:K61"/>
    <mergeCell ref="K2:K5"/>
    <mergeCell ref="K6:K9"/>
    <mergeCell ref="K10:K13"/>
    <mergeCell ref="K14:K17"/>
    <mergeCell ref="K18:K21"/>
    <mergeCell ref="K22:K25"/>
    <mergeCell ref="K26:K29"/>
    <mergeCell ref="K30:K33"/>
    <mergeCell ref="K34:K37"/>
    <mergeCell ref="K38:K41"/>
    <mergeCell ref="K42:K45"/>
    <mergeCell ref="K46:K49"/>
    <mergeCell ref="K50:K53"/>
    <mergeCell ref="K54:K57"/>
  </mergeCells>
  <conditionalFormatting sqref="I2:I61">
    <cfRule type="expression" dxfId="3" priority="1">
      <formula>$G2&gt;$H2</formula>
    </cfRule>
  </conditionalFormatting>
  <pageMargins left="0.7" right="0.7" top="0.75" bottom="0.75" header="0.3" footer="0.3"/>
  <pageSetup paperSize="9" orientation="portrait" verticalDpi="0" r:id="rId1"/>
  <ignoredErrors>
    <ignoredError sqref="K2 K6 K10 K14 K18 K22:K45 K46:K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29"/>
  <sheetViews>
    <sheetView zoomScale="85" zoomScaleNormal="85" workbookViewId="0">
      <selection activeCell="A2" sqref="A2"/>
    </sheetView>
  </sheetViews>
  <sheetFormatPr defaultRowHeight="12.75" x14ac:dyDescent="0.2"/>
  <cols>
    <col min="1" max="2" width="11.28515625" customWidth="1"/>
    <col min="3" max="4" width="23.7109375" customWidth="1"/>
    <col min="5" max="5" width="11.28515625" customWidth="1"/>
    <col min="8" max="8" width="16.140625" bestFit="1" customWidth="1"/>
    <col min="9" max="9" width="16.140625" customWidth="1"/>
    <col min="10" max="10" width="13.42578125" customWidth="1"/>
    <col min="11" max="11" width="14.42578125" customWidth="1"/>
    <col min="12" max="12" width="14.5703125" bestFit="1" customWidth="1"/>
  </cols>
  <sheetData>
    <row r="1" spans="1:8" ht="37.5" customHeight="1" x14ac:dyDescent="0.2">
      <c r="A1" s="165" t="s">
        <v>2</v>
      </c>
      <c r="B1" s="165" t="s">
        <v>10</v>
      </c>
      <c r="C1" s="165" t="s">
        <v>27</v>
      </c>
      <c r="D1" s="165" t="s">
        <v>7</v>
      </c>
      <c r="E1" s="165" t="s">
        <v>9</v>
      </c>
    </row>
    <row r="2" spans="1:8" ht="17.25" customHeight="1" x14ac:dyDescent="0.2">
      <c r="A2" s="43">
        <v>1</v>
      </c>
      <c r="B2" s="43">
        <v>1</v>
      </c>
      <c r="C2" s="69" t="s">
        <v>389</v>
      </c>
      <c r="D2" s="42" t="s">
        <v>246</v>
      </c>
      <c r="E2" s="59">
        <f t="shared" ref="E2:E21" si="0">ROUND(100-((100/(2*$B$23))*(A2-1)),2)</f>
        <v>100</v>
      </c>
    </row>
    <row r="3" spans="1:8" ht="17.25" customHeight="1" x14ac:dyDescent="0.2">
      <c r="A3" s="43">
        <v>1</v>
      </c>
      <c r="B3" s="43">
        <v>2</v>
      </c>
      <c r="C3" s="69" t="s">
        <v>389</v>
      </c>
      <c r="D3" s="41" t="s">
        <v>251</v>
      </c>
      <c r="E3" s="59">
        <f t="shared" si="0"/>
        <v>100</v>
      </c>
    </row>
    <row r="4" spans="1:8" ht="17.25" customHeight="1" x14ac:dyDescent="0.2">
      <c r="A4" s="43">
        <v>1</v>
      </c>
      <c r="B4" s="43">
        <v>3</v>
      </c>
      <c r="C4" s="69" t="s">
        <v>389</v>
      </c>
      <c r="D4" s="42" t="s">
        <v>247</v>
      </c>
      <c r="E4" s="59">
        <f t="shared" si="0"/>
        <v>100</v>
      </c>
    </row>
    <row r="5" spans="1:8" ht="17.25" customHeight="1" x14ac:dyDescent="0.2">
      <c r="A5" s="43">
        <v>1</v>
      </c>
      <c r="B5" s="43">
        <v>4</v>
      </c>
      <c r="C5" s="69" t="s">
        <v>389</v>
      </c>
      <c r="D5" s="41" t="s">
        <v>147</v>
      </c>
      <c r="E5" s="59">
        <f t="shared" si="0"/>
        <v>100</v>
      </c>
    </row>
    <row r="6" spans="1:8" ht="17.25" customHeight="1" x14ac:dyDescent="0.2">
      <c r="A6" s="43">
        <v>2</v>
      </c>
      <c r="B6" s="43">
        <v>1</v>
      </c>
      <c r="C6" s="69" t="s">
        <v>392</v>
      </c>
      <c r="D6" s="41" t="s">
        <v>376</v>
      </c>
      <c r="E6" s="59">
        <f t="shared" si="0"/>
        <v>90</v>
      </c>
      <c r="H6" s="13"/>
    </row>
    <row r="7" spans="1:8" ht="17.25" customHeight="1" x14ac:dyDescent="0.2">
      <c r="A7" s="43">
        <v>2</v>
      </c>
      <c r="B7" s="43">
        <v>2</v>
      </c>
      <c r="C7" s="69" t="s">
        <v>392</v>
      </c>
      <c r="D7" s="41" t="s">
        <v>377</v>
      </c>
      <c r="E7" s="59">
        <f t="shared" si="0"/>
        <v>90</v>
      </c>
      <c r="H7" s="13"/>
    </row>
    <row r="8" spans="1:8" ht="17.25" customHeight="1" x14ac:dyDescent="0.2">
      <c r="A8" s="43">
        <v>2</v>
      </c>
      <c r="B8" s="43">
        <v>3</v>
      </c>
      <c r="C8" s="69" t="s">
        <v>392</v>
      </c>
      <c r="D8" s="41" t="s">
        <v>378</v>
      </c>
      <c r="E8" s="59">
        <f t="shared" si="0"/>
        <v>90</v>
      </c>
      <c r="H8" s="13"/>
    </row>
    <row r="9" spans="1:8" ht="17.25" customHeight="1" x14ac:dyDescent="0.2">
      <c r="A9" s="43">
        <v>2</v>
      </c>
      <c r="B9" s="43">
        <v>4</v>
      </c>
      <c r="C9" s="69" t="s">
        <v>392</v>
      </c>
      <c r="D9" s="41" t="s">
        <v>379</v>
      </c>
      <c r="E9" s="59">
        <f t="shared" si="0"/>
        <v>90</v>
      </c>
      <c r="H9" s="13"/>
    </row>
    <row r="10" spans="1:8" ht="17.25" customHeight="1" x14ac:dyDescent="0.2">
      <c r="A10" s="43">
        <v>3</v>
      </c>
      <c r="B10" s="43">
        <v>1</v>
      </c>
      <c r="C10" s="69" t="s">
        <v>390</v>
      </c>
      <c r="D10" s="41" t="s">
        <v>380</v>
      </c>
      <c r="E10" s="59">
        <f t="shared" si="0"/>
        <v>80</v>
      </c>
      <c r="H10" s="13"/>
    </row>
    <row r="11" spans="1:8" ht="17.25" customHeight="1" x14ac:dyDescent="0.2">
      <c r="A11" s="43">
        <v>3</v>
      </c>
      <c r="B11" s="43">
        <v>2</v>
      </c>
      <c r="C11" s="69" t="s">
        <v>390</v>
      </c>
      <c r="D11" s="41" t="s">
        <v>381</v>
      </c>
      <c r="E11" s="59">
        <f t="shared" si="0"/>
        <v>80</v>
      </c>
    </row>
    <row r="12" spans="1:8" ht="17.25" customHeight="1" x14ac:dyDescent="0.2">
      <c r="A12" s="43">
        <v>3</v>
      </c>
      <c r="B12" s="43">
        <v>3</v>
      </c>
      <c r="C12" s="69" t="s">
        <v>390</v>
      </c>
      <c r="D12" s="41" t="s">
        <v>382</v>
      </c>
      <c r="E12" s="59">
        <f t="shared" si="0"/>
        <v>80</v>
      </c>
    </row>
    <row r="13" spans="1:8" ht="17.25" customHeight="1" x14ac:dyDescent="0.2">
      <c r="A13" s="43">
        <v>3</v>
      </c>
      <c r="B13" s="43">
        <v>4</v>
      </c>
      <c r="C13" s="69" t="s">
        <v>390</v>
      </c>
      <c r="D13" s="42" t="s">
        <v>383</v>
      </c>
      <c r="E13" s="59">
        <f t="shared" si="0"/>
        <v>80</v>
      </c>
    </row>
    <row r="14" spans="1:8" ht="17.25" customHeight="1" x14ac:dyDescent="0.2">
      <c r="A14" s="43">
        <v>4</v>
      </c>
      <c r="B14" s="43">
        <v>1</v>
      </c>
      <c r="C14" s="69" t="s">
        <v>388</v>
      </c>
      <c r="D14" s="41" t="s">
        <v>156</v>
      </c>
      <c r="E14" s="59">
        <f t="shared" si="0"/>
        <v>70</v>
      </c>
    </row>
    <row r="15" spans="1:8" ht="17.25" customHeight="1" x14ac:dyDescent="0.2">
      <c r="A15" s="43">
        <v>4</v>
      </c>
      <c r="B15" s="43">
        <v>2</v>
      </c>
      <c r="C15" s="69" t="s">
        <v>388</v>
      </c>
      <c r="D15" s="41" t="s">
        <v>149</v>
      </c>
      <c r="E15" s="59">
        <f t="shared" si="0"/>
        <v>70</v>
      </c>
    </row>
    <row r="16" spans="1:8" ht="17.25" customHeight="1" x14ac:dyDescent="0.2">
      <c r="A16" s="43">
        <v>4</v>
      </c>
      <c r="B16" s="43">
        <v>3</v>
      </c>
      <c r="C16" s="69" t="s">
        <v>388</v>
      </c>
      <c r="D16" s="41" t="s">
        <v>384</v>
      </c>
      <c r="E16" s="59">
        <f t="shared" si="0"/>
        <v>70</v>
      </c>
    </row>
    <row r="17" spans="1:5" ht="17.25" customHeight="1" x14ac:dyDescent="0.2">
      <c r="A17" s="43">
        <v>4</v>
      </c>
      <c r="B17" s="43">
        <v>4</v>
      </c>
      <c r="C17" s="69" t="s">
        <v>388</v>
      </c>
      <c r="D17" s="41" t="s">
        <v>150</v>
      </c>
      <c r="E17" s="59">
        <f t="shared" si="0"/>
        <v>70</v>
      </c>
    </row>
    <row r="18" spans="1:5" ht="17.25" customHeight="1" x14ac:dyDescent="0.2">
      <c r="A18" s="43">
        <v>5</v>
      </c>
      <c r="B18" s="43">
        <v>1</v>
      </c>
      <c r="C18" s="69" t="s">
        <v>391</v>
      </c>
      <c r="D18" s="41" t="s">
        <v>385</v>
      </c>
      <c r="E18" s="59">
        <f t="shared" si="0"/>
        <v>60</v>
      </c>
    </row>
    <row r="19" spans="1:5" ht="17.25" customHeight="1" x14ac:dyDescent="0.2">
      <c r="A19" s="43">
        <v>5</v>
      </c>
      <c r="B19" s="43">
        <v>2</v>
      </c>
      <c r="C19" s="69" t="s">
        <v>391</v>
      </c>
      <c r="D19" s="41" t="s">
        <v>386</v>
      </c>
      <c r="E19" s="59">
        <f t="shared" si="0"/>
        <v>60</v>
      </c>
    </row>
    <row r="20" spans="1:5" ht="17.25" customHeight="1" x14ac:dyDescent="0.2">
      <c r="A20" s="43">
        <v>5</v>
      </c>
      <c r="B20" s="43">
        <v>3</v>
      </c>
      <c r="C20" s="69" t="s">
        <v>391</v>
      </c>
      <c r="D20" s="41" t="s">
        <v>387</v>
      </c>
      <c r="E20" s="59">
        <f t="shared" si="0"/>
        <v>60</v>
      </c>
    </row>
    <row r="21" spans="1:5" ht="17.25" customHeight="1" x14ac:dyDescent="0.2">
      <c r="A21" s="43">
        <v>5</v>
      </c>
      <c r="B21" s="43">
        <v>4</v>
      </c>
      <c r="C21" s="69" t="s">
        <v>391</v>
      </c>
      <c r="D21" s="41" t="s">
        <v>148</v>
      </c>
      <c r="E21" s="59">
        <f t="shared" si="0"/>
        <v>60</v>
      </c>
    </row>
    <row r="22" spans="1:5" ht="17.25" customHeight="1" x14ac:dyDescent="0.2"/>
    <row r="23" spans="1:5" ht="17.25" customHeight="1" x14ac:dyDescent="0.2">
      <c r="A23" s="43" t="s">
        <v>26</v>
      </c>
      <c r="B23" s="60">
        <v>5</v>
      </c>
      <c r="C23" s="74"/>
    </row>
    <row r="24" spans="1:5" ht="17.25" customHeight="1" x14ac:dyDescent="0.2"/>
    <row r="25" spans="1:5" ht="17.25" customHeight="1" x14ac:dyDescent="0.2">
      <c r="A25" s="43" t="s">
        <v>15</v>
      </c>
      <c r="B25" s="43">
        <v>1</v>
      </c>
      <c r="D25" s="114" t="s">
        <v>248</v>
      </c>
      <c r="E25" s="43">
        <f>IF(ISBLANK(D25),0,VLOOKUP(ROUNDUP($B$23*0.4,0),$A$2:$E$21,5,FALSE))</f>
        <v>90</v>
      </c>
    </row>
    <row r="26" spans="1:5" ht="17.25" customHeight="1" x14ac:dyDescent="0.2">
      <c r="B26" s="43">
        <v>2</v>
      </c>
      <c r="D26" s="114" t="s">
        <v>375</v>
      </c>
      <c r="E26" s="43">
        <f>IF(ISBLANK(D26),0,VLOOKUP(ROUNDUP($B$23*0.4,0),$A$2:$E$21,5,FALSE))</f>
        <v>90</v>
      </c>
    </row>
    <row r="27" spans="1:5" ht="17.25" customHeight="1" x14ac:dyDescent="0.2">
      <c r="B27" s="43">
        <v>3</v>
      </c>
      <c r="D27" s="114" t="s">
        <v>393</v>
      </c>
      <c r="E27" s="43">
        <f>IF(ISBLANK(D27),0,VLOOKUP(ROUNDUP($B$23*0.4,0),$A$2:$E$21,5,FALSE))</f>
        <v>90</v>
      </c>
    </row>
    <row r="29" spans="1:5" x14ac:dyDescent="0.2">
      <c r="D29" t="s">
        <v>28</v>
      </c>
      <c r="E29" s="43">
        <f>SUM(E2:E27)</f>
        <v>1870</v>
      </c>
    </row>
  </sheetData>
  <sheetProtection algorithmName="SHA-512" hashValue="TtsPc34Oy9cYTBIVLzD734weZNeft0553rkEWUeOcmclVXYWgf3k0Rh9xgp0hb8hQAS9AMV7YxZ3ThxYiiOBew==" saltValue="mWQ3AwWEpxGN65Oat8HhDw==" spinCount="100000" sheet="1" objects="1" scenarios="1"/>
  <sortState xmlns:xlrd2="http://schemas.microsoft.com/office/spreadsheetml/2017/richdata2" ref="L2:M10">
    <sortCondition ref="M2:M1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53"/>
  <sheetViews>
    <sheetView zoomScale="85" zoomScaleNormal="85" workbookViewId="0">
      <pane ySplit="1" topLeftCell="A20" activePane="bottomLeft" state="frozen"/>
      <selection pane="bottomLeft"/>
    </sheetView>
  </sheetViews>
  <sheetFormatPr defaultRowHeight="12.75" x14ac:dyDescent="0.2"/>
  <cols>
    <col min="1" max="1" width="12.28515625" customWidth="1"/>
    <col min="2" max="2" width="11.28515625" customWidth="1"/>
    <col min="3" max="3" width="23.7109375" customWidth="1"/>
    <col min="4" max="10" width="11.140625" customWidth="1"/>
    <col min="11" max="11" width="8.140625" bestFit="1" customWidth="1"/>
    <col min="12" max="12" width="5.7109375" hidden="1" customWidth="1"/>
    <col min="13" max="13" width="5" hidden="1" customWidth="1"/>
    <col min="14" max="14" width="4.85546875" hidden="1" customWidth="1"/>
    <col min="15" max="16" width="10.85546875" hidden="1" customWidth="1"/>
    <col min="17" max="17" width="2.5703125" hidden="1" customWidth="1"/>
    <col min="18" max="18" width="7.7109375" customWidth="1"/>
    <col min="19" max="19" width="11.28515625" customWidth="1"/>
    <col min="20" max="20" width="23.7109375" customWidth="1"/>
    <col min="21" max="22" width="11.140625" customWidth="1"/>
    <col min="23" max="23" width="7.7109375" customWidth="1"/>
    <col min="24" max="24" width="11.140625" customWidth="1"/>
    <col min="25" max="25" width="24.42578125" bestFit="1" customWidth="1"/>
    <col min="27" max="27" width="10.28515625" hidden="1" customWidth="1"/>
  </cols>
  <sheetData>
    <row r="1" spans="1:27" ht="37.5" customHeight="1" x14ac:dyDescent="0.2">
      <c r="A1" s="165" t="s">
        <v>5</v>
      </c>
      <c r="B1" s="165" t="s">
        <v>6</v>
      </c>
      <c r="C1" s="166" t="s">
        <v>7</v>
      </c>
      <c r="D1" s="165" t="s">
        <v>16</v>
      </c>
      <c r="E1" s="165" t="s">
        <v>409</v>
      </c>
      <c r="F1" s="165" t="s">
        <v>220</v>
      </c>
      <c r="G1" s="165" t="s">
        <v>408</v>
      </c>
      <c r="H1" s="165" t="s">
        <v>19</v>
      </c>
      <c r="I1" s="165" t="s">
        <v>218</v>
      </c>
      <c r="J1" s="165" t="s">
        <v>14</v>
      </c>
      <c r="K1" s="165" t="s">
        <v>9</v>
      </c>
      <c r="L1" s="138">
        <v>4.8611111111111112E-3</v>
      </c>
      <c r="M1" s="8"/>
      <c r="N1" s="108" t="s">
        <v>154</v>
      </c>
      <c r="O1" s="99" t="s">
        <v>152</v>
      </c>
      <c r="P1" s="99" t="s">
        <v>153</v>
      </c>
      <c r="S1" s="159" t="s">
        <v>6</v>
      </c>
      <c r="T1" s="159" t="s">
        <v>7</v>
      </c>
      <c r="U1" s="159" t="s">
        <v>19</v>
      </c>
      <c r="V1" s="159" t="s">
        <v>275</v>
      </c>
      <c r="W1" s="151"/>
      <c r="X1" s="162" t="s">
        <v>245</v>
      </c>
      <c r="Y1" s="164" t="s">
        <v>7</v>
      </c>
      <c r="Z1" s="163" t="s">
        <v>152</v>
      </c>
      <c r="AA1" s="113">
        <v>43550</v>
      </c>
    </row>
    <row r="2" spans="1:27" ht="16.5" customHeight="1" x14ac:dyDescent="0.2">
      <c r="A2" s="43">
        <f t="shared" ref="A2:A42" si="0">RANK(I2,$I$2:$I$42,1)</f>
        <v>1</v>
      </c>
      <c r="B2" s="43">
        <f t="shared" ref="B2:B42" si="1">RANK(H2,$H$2:$H$42,1)</f>
        <v>9</v>
      </c>
      <c r="C2" s="220" t="s">
        <v>396</v>
      </c>
      <c r="D2" s="193">
        <v>3.9351851851851857E-3</v>
      </c>
      <c r="E2" s="92">
        <v>6.9444444444444444E-5</v>
      </c>
      <c r="F2" s="96">
        <f t="shared" ref="F2:F42" si="2">$L$1-D2</f>
        <v>9.2592592592592553E-4</v>
      </c>
      <c r="G2" s="92">
        <v>3.7731481481481483E-3</v>
      </c>
      <c r="H2" s="92">
        <f t="shared" ref="H2:H42" si="3">G2-E2</f>
        <v>3.7037037037037038E-3</v>
      </c>
      <c r="I2" s="92">
        <f t="shared" ref="I2:I42" si="4">H2+F2</f>
        <v>4.6296296296296294E-3</v>
      </c>
      <c r="J2" s="107">
        <f t="shared" ref="J2:J42" si="5">IF(H2&gt;D2,H2-D2,D2-H2)</f>
        <v>2.3148148148148182E-4</v>
      </c>
      <c r="K2" s="59">
        <f t="shared" ref="K2:K42" si="6">ROUND(100-((100/$B$44)*(A2-1)),2)</f>
        <v>100</v>
      </c>
      <c r="L2" s="70"/>
      <c r="M2" s="92"/>
      <c r="N2" s="43">
        <f t="shared" ref="N2:N42" si="7">DATEDIF(AA2,$AA$1,"y")</f>
        <v>45</v>
      </c>
      <c r="O2" s="150"/>
      <c r="P2" s="43" t="e">
        <f t="shared" ref="P2:P42" si="8">RANK(O2,$O$2:$O$42,0)</f>
        <v>#N/A</v>
      </c>
      <c r="R2" s="173"/>
      <c r="S2" s="43">
        <v>1</v>
      </c>
      <c r="T2" s="221" t="s">
        <v>182</v>
      </c>
      <c r="U2" s="93">
        <v>3.1921296296296294E-3</v>
      </c>
      <c r="V2" s="93">
        <f>U2/1.609</f>
        <v>1.9839214603043069E-3</v>
      </c>
      <c r="W2" s="168"/>
      <c r="X2" s="73">
        <v>1</v>
      </c>
      <c r="Y2" s="221" t="s">
        <v>217</v>
      </c>
      <c r="Z2" s="169">
        <v>0.83850000000000002</v>
      </c>
      <c r="AA2" s="113">
        <v>26857</v>
      </c>
    </row>
    <row r="3" spans="1:27" ht="16.5" customHeight="1" x14ac:dyDescent="0.2">
      <c r="A3" s="43">
        <f t="shared" si="0"/>
        <v>2</v>
      </c>
      <c r="B3" s="43">
        <f t="shared" si="1"/>
        <v>5</v>
      </c>
      <c r="C3" s="221" t="s">
        <v>191</v>
      </c>
      <c r="D3" s="193">
        <v>3.7615740740740739E-3</v>
      </c>
      <c r="E3" s="92">
        <v>5.7870370370370366E-5</v>
      </c>
      <c r="F3" s="96">
        <f t="shared" si="2"/>
        <v>1.0995370370370373E-3</v>
      </c>
      <c r="G3" s="92">
        <v>3.6342592592592594E-3</v>
      </c>
      <c r="H3" s="92">
        <f t="shared" si="3"/>
        <v>3.5763888888888889E-3</v>
      </c>
      <c r="I3" s="92">
        <f t="shared" si="4"/>
        <v>4.6759259259259263E-3</v>
      </c>
      <c r="J3" s="107">
        <f t="shared" si="5"/>
        <v>1.8518518518518493E-4</v>
      </c>
      <c r="K3" s="59">
        <f t="shared" si="6"/>
        <v>97.56</v>
      </c>
      <c r="L3" s="70"/>
      <c r="M3" s="92"/>
      <c r="N3" s="43">
        <f t="shared" si="7"/>
        <v>36</v>
      </c>
      <c r="O3" s="150"/>
      <c r="P3" s="43" t="e">
        <f t="shared" si="8"/>
        <v>#N/A</v>
      </c>
      <c r="R3" s="173"/>
      <c r="S3" s="43">
        <v>2</v>
      </c>
      <c r="T3" s="221" t="s">
        <v>32</v>
      </c>
      <c r="U3" s="93">
        <v>3.4768518518518516E-3</v>
      </c>
      <c r="V3" s="93">
        <f t="shared" ref="V3:V42" si="9">U3/1.609</f>
        <v>2.1608774716294914E-3</v>
      </c>
      <c r="W3" s="168"/>
      <c r="X3" s="73">
        <v>2</v>
      </c>
      <c r="Y3" s="221" t="s">
        <v>182</v>
      </c>
      <c r="Z3" s="169">
        <v>0.8246</v>
      </c>
      <c r="AA3" s="113">
        <v>30234</v>
      </c>
    </row>
    <row r="4" spans="1:27" ht="16.5" customHeight="1" x14ac:dyDescent="0.2">
      <c r="A4" s="43">
        <f t="shared" si="0"/>
        <v>3</v>
      </c>
      <c r="B4" s="43">
        <f t="shared" si="1"/>
        <v>19</v>
      </c>
      <c r="C4" s="219" t="s">
        <v>44</v>
      </c>
      <c r="D4" s="193">
        <v>4.108796296296297E-3</v>
      </c>
      <c r="E4" s="92">
        <v>7.6388888888888893E-4</v>
      </c>
      <c r="F4" s="96">
        <f t="shared" si="2"/>
        <v>7.5231481481481417E-4</v>
      </c>
      <c r="G4" s="92">
        <v>4.7094907407407407E-3</v>
      </c>
      <c r="H4" s="92">
        <f t="shared" si="3"/>
        <v>3.945601851851852E-3</v>
      </c>
      <c r="I4" s="92">
        <f t="shared" si="4"/>
        <v>4.6979166666666662E-3</v>
      </c>
      <c r="J4" s="107">
        <f t="shared" si="5"/>
        <v>1.6319444444444497E-4</v>
      </c>
      <c r="K4" s="59">
        <f t="shared" si="6"/>
        <v>95.12</v>
      </c>
      <c r="L4" s="70"/>
      <c r="M4" s="92"/>
      <c r="N4" s="43">
        <f t="shared" si="7"/>
        <v>51</v>
      </c>
      <c r="O4" s="150"/>
      <c r="P4" s="43" t="e">
        <f t="shared" si="8"/>
        <v>#N/A</v>
      </c>
      <c r="R4" s="173"/>
      <c r="S4" s="43">
        <v>3</v>
      </c>
      <c r="T4" s="221" t="s">
        <v>48</v>
      </c>
      <c r="U4" s="93">
        <v>3.4884259259259256E-3</v>
      </c>
      <c r="V4" s="93">
        <f t="shared" si="9"/>
        <v>2.168070805423198E-3</v>
      </c>
      <c r="W4" s="168"/>
      <c r="X4" s="73">
        <v>3</v>
      </c>
      <c r="Y4" s="219" t="s">
        <v>125</v>
      </c>
      <c r="Z4" s="169">
        <v>0.81579999999999997</v>
      </c>
      <c r="AA4" s="113">
        <v>24862</v>
      </c>
    </row>
    <row r="5" spans="1:27" ht="16.5" customHeight="1" x14ac:dyDescent="0.2">
      <c r="A5" s="43">
        <f t="shared" si="0"/>
        <v>4</v>
      </c>
      <c r="B5" s="43">
        <f t="shared" si="1"/>
        <v>3</v>
      </c>
      <c r="C5" s="221" t="s">
        <v>48</v>
      </c>
      <c r="D5" s="193">
        <v>3.645833333333333E-3</v>
      </c>
      <c r="E5" s="92">
        <v>1.8287037037037038E-4</v>
      </c>
      <c r="F5" s="96">
        <f t="shared" si="2"/>
        <v>1.2152777777777782E-3</v>
      </c>
      <c r="G5" s="92">
        <v>3.6712962962962962E-3</v>
      </c>
      <c r="H5" s="92">
        <f t="shared" si="3"/>
        <v>3.4884259259259256E-3</v>
      </c>
      <c r="I5" s="92">
        <f t="shared" si="4"/>
        <v>4.7037037037037039E-3</v>
      </c>
      <c r="J5" s="107">
        <f t="shared" si="5"/>
        <v>1.5740740740740732E-4</v>
      </c>
      <c r="K5" s="59">
        <f t="shared" si="6"/>
        <v>92.68</v>
      </c>
      <c r="L5" s="70"/>
      <c r="M5" s="92"/>
      <c r="N5" s="43">
        <f t="shared" si="7"/>
        <v>45</v>
      </c>
      <c r="O5" s="150"/>
      <c r="P5" s="43" t="e">
        <f t="shared" si="8"/>
        <v>#N/A</v>
      </c>
      <c r="R5" s="173"/>
      <c r="S5" s="43">
        <v>4</v>
      </c>
      <c r="T5" s="221" t="s">
        <v>85</v>
      </c>
      <c r="U5" s="93">
        <v>3.4895833333333333E-3</v>
      </c>
      <c r="V5" s="93">
        <f t="shared" si="9"/>
        <v>2.1687901388025687E-3</v>
      </c>
      <c r="W5" s="168"/>
      <c r="X5" s="73">
        <v>4</v>
      </c>
      <c r="Y5" s="221" t="s">
        <v>48</v>
      </c>
      <c r="Z5" s="169">
        <v>0.81169999999999998</v>
      </c>
      <c r="AA5" s="113">
        <v>27080</v>
      </c>
    </row>
    <row r="6" spans="1:27" ht="16.5" customHeight="1" x14ac:dyDescent="0.2">
      <c r="A6" s="43">
        <f t="shared" si="0"/>
        <v>5</v>
      </c>
      <c r="B6" s="43">
        <f t="shared" si="1"/>
        <v>32</v>
      </c>
      <c r="C6" s="219" t="s">
        <v>119</v>
      </c>
      <c r="D6" s="193">
        <v>4.3055555555555555E-3</v>
      </c>
      <c r="E6" s="92">
        <v>5.6597222222222216E-4</v>
      </c>
      <c r="F6" s="96">
        <f t="shared" si="2"/>
        <v>5.5555555555555566E-4</v>
      </c>
      <c r="G6" s="92">
        <v>4.7476851851851855E-3</v>
      </c>
      <c r="H6" s="92">
        <f t="shared" si="3"/>
        <v>4.1817129629629635E-3</v>
      </c>
      <c r="I6" s="92">
        <f t="shared" si="4"/>
        <v>4.7372685185185191E-3</v>
      </c>
      <c r="J6" s="107">
        <f t="shared" si="5"/>
        <v>1.2384259259259206E-4</v>
      </c>
      <c r="K6" s="59">
        <f t="shared" si="6"/>
        <v>90.24</v>
      </c>
      <c r="L6" s="70"/>
      <c r="M6" s="92"/>
      <c r="N6" s="43">
        <f t="shared" si="7"/>
        <v>47</v>
      </c>
      <c r="O6" s="150"/>
      <c r="P6" s="43" t="e">
        <f t="shared" si="8"/>
        <v>#N/A</v>
      </c>
      <c r="R6" s="173"/>
      <c r="S6" s="43">
        <v>5</v>
      </c>
      <c r="T6" s="221" t="s">
        <v>191</v>
      </c>
      <c r="U6" s="93">
        <v>3.5763888888888889E-3</v>
      </c>
      <c r="V6" s="93">
        <f t="shared" si="9"/>
        <v>2.2227401422553693E-3</v>
      </c>
      <c r="W6" s="168"/>
      <c r="X6" s="73">
        <v>5</v>
      </c>
      <c r="Y6" s="221" t="s">
        <v>327</v>
      </c>
      <c r="Z6" s="169">
        <v>0.81100000000000005</v>
      </c>
      <c r="AA6" s="113">
        <v>26072</v>
      </c>
    </row>
    <row r="7" spans="1:27" ht="16.5" customHeight="1" x14ac:dyDescent="0.2">
      <c r="A7" s="43">
        <f t="shared" si="0"/>
        <v>6</v>
      </c>
      <c r="B7" s="43">
        <f t="shared" si="1"/>
        <v>10</v>
      </c>
      <c r="C7" s="220" t="s">
        <v>128</v>
      </c>
      <c r="D7" s="193">
        <v>3.9351851851851857E-3</v>
      </c>
      <c r="E7" s="92">
        <v>6.9444444444444444E-5</v>
      </c>
      <c r="F7" s="96">
        <f t="shared" si="2"/>
        <v>9.2592592592592553E-4</v>
      </c>
      <c r="G7" s="92">
        <v>3.8888888888888883E-3</v>
      </c>
      <c r="H7" s="92">
        <f t="shared" si="3"/>
        <v>3.8194444444444439E-3</v>
      </c>
      <c r="I7" s="92">
        <f t="shared" si="4"/>
        <v>4.7453703703703694E-3</v>
      </c>
      <c r="J7" s="107">
        <f t="shared" si="5"/>
        <v>1.1574074074074178E-4</v>
      </c>
      <c r="K7" s="59">
        <f t="shared" si="6"/>
        <v>87.8</v>
      </c>
      <c r="L7" s="70"/>
      <c r="M7" s="92"/>
      <c r="N7" s="43">
        <f t="shared" si="7"/>
        <v>43</v>
      </c>
      <c r="O7" s="150"/>
      <c r="P7" s="43" t="e">
        <f t="shared" si="8"/>
        <v>#N/A</v>
      </c>
      <c r="R7" s="173"/>
      <c r="S7" s="43">
        <v>6</v>
      </c>
      <c r="T7" s="221" t="s">
        <v>60</v>
      </c>
      <c r="U7" s="93">
        <v>3.6365740740740738E-3</v>
      </c>
      <c r="V7" s="93">
        <f t="shared" si="9"/>
        <v>2.2601454779826438E-3</v>
      </c>
      <c r="W7" s="168"/>
      <c r="X7" s="73">
        <v>6</v>
      </c>
      <c r="Y7" s="221" t="s">
        <v>32</v>
      </c>
      <c r="Z7" s="169">
        <v>0.80820000000000003</v>
      </c>
      <c r="AA7" s="113">
        <v>27828</v>
      </c>
    </row>
    <row r="8" spans="1:27" ht="16.5" customHeight="1" x14ac:dyDescent="0.2">
      <c r="A8" s="43">
        <f t="shared" si="0"/>
        <v>7</v>
      </c>
      <c r="B8" s="43">
        <f t="shared" si="1"/>
        <v>8</v>
      </c>
      <c r="C8" s="221" t="s">
        <v>98</v>
      </c>
      <c r="D8" s="193">
        <v>3.7962962962962963E-3</v>
      </c>
      <c r="E8" s="92">
        <v>2.8935185185185183E-5</v>
      </c>
      <c r="F8" s="96">
        <f t="shared" si="2"/>
        <v>1.0648148148148149E-3</v>
      </c>
      <c r="G8" s="92">
        <v>3.7268518518518514E-3</v>
      </c>
      <c r="H8" s="92">
        <f t="shared" si="3"/>
        <v>3.6979166666666662E-3</v>
      </c>
      <c r="I8" s="92">
        <f t="shared" si="4"/>
        <v>4.7627314814814806E-3</v>
      </c>
      <c r="J8" s="107">
        <f t="shared" si="5"/>
        <v>9.8379629629630119E-5</v>
      </c>
      <c r="K8" s="59">
        <f t="shared" si="6"/>
        <v>85.37</v>
      </c>
      <c r="L8" s="70"/>
      <c r="M8" s="92"/>
      <c r="N8" s="73">
        <f t="shared" si="7"/>
        <v>43</v>
      </c>
      <c r="O8" s="150"/>
      <c r="P8" s="43" t="e">
        <f t="shared" si="8"/>
        <v>#N/A</v>
      </c>
      <c r="R8" s="173"/>
      <c r="S8" s="43">
        <v>7</v>
      </c>
      <c r="T8" s="221" t="s">
        <v>217</v>
      </c>
      <c r="U8" s="93">
        <v>3.6678240740740742E-3</v>
      </c>
      <c r="V8" s="93">
        <f t="shared" si="9"/>
        <v>2.2795674792256519E-3</v>
      </c>
      <c r="W8" s="168"/>
      <c r="X8" s="73">
        <v>7</v>
      </c>
      <c r="Y8" s="221" t="s">
        <v>85</v>
      </c>
      <c r="Z8" s="169">
        <v>0.80520000000000003</v>
      </c>
      <c r="AA8" s="113">
        <v>27521</v>
      </c>
    </row>
    <row r="9" spans="1:27" ht="16.5" customHeight="1" x14ac:dyDescent="0.2">
      <c r="A9" s="43">
        <f t="shared" si="0"/>
        <v>8</v>
      </c>
      <c r="B9" s="43">
        <f t="shared" si="1"/>
        <v>7</v>
      </c>
      <c r="C9" s="221" t="s">
        <v>217</v>
      </c>
      <c r="D9" s="193">
        <v>3.7615740740740739E-3</v>
      </c>
      <c r="E9" s="92">
        <v>5.7870370370370366E-5</v>
      </c>
      <c r="F9" s="96">
        <f t="shared" si="2"/>
        <v>1.0995370370370373E-3</v>
      </c>
      <c r="G9" s="92">
        <v>3.7256944444444447E-3</v>
      </c>
      <c r="H9" s="92">
        <f t="shared" si="3"/>
        <v>3.6678240740740742E-3</v>
      </c>
      <c r="I9" s="92">
        <f t="shared" si="4"/>
        <v>4.7673611111111111E-3</v>
      </c>
      <c r="J9" s="107">
        <f t="shared" si="5"/>
        <v>9.374999999999965E-5</v>
      </c>
      <c r="K9" s="59">
        <f t="shared" si="6"/>
        <v>82.93</v>
      </c>
      <c r="L9" s="70"/>
      <c r="M9" s="92"/>
      <c r="N9" s="43">
        <f t="shared" si="7"/>
        <v>40</v>
      </c>
      <c r="O9" s="150"/>
      <c r="P9" s="43" t="e">
        <f t="shared" si="8"/>
        <v>#N/A</v>
      </c>
      <c r="R9" s="173"/>
      <c r="S9" s="43">
        <v>8</v>
      </c>
      <c r="T9" s="221" t="s">
        <v>98</v>
      </c>
      <c r="U9" s="93">
        <v>3.6979166666666662E-3</v>
      </c>
      <c r="V9" s="93">
        <f t="shared" si="9"/>
        <v>2.2982701470892889E-3</v>
      </c>
      <c r="W9" s="168"/>
      <c r="X9" s="73">
        <v>8</v>
      </c>
      <c r="Y9" s="221" t="s">
        <v>60</v>
      </c>
      <c r="Z9" s="169">
        <v>0.79710000000000003</v>
      </c>
      <c r="AA9" s="113">
        <v>28736</v>
      </c>
    </row>
    <row r="10" spans="1:27" ht="16.5" customHeight="1" x14ac:dyDescent="0.2">
      <c r="A10" s="43">
        <f t="shared" si="0"/>
        <v>9</v>
      </c>
      <c r="B10" s="43">
        <f t="shared" si="1"/>
        <v>20</v>
      </c>
      <c r="C10" s="219" t="s">
        <v>353</v>
      </c>
      <c r="D10" s="193">
        <v>4.0509259259259257E-3</v>
      </c>
      <c r="E10" s="92">
        <v>8.4259259259259259E-4</v>
      </c>
      <c r="F10" s="96">
        <f t="shared" si="2"/>
        <v>8.1018518518518549E-4</v>
      </c>
      <c r="G10" s="92">
        <v>4.8009259259259255E-3</v>
      </c>
      <c r="H10" s="92">
        <f t="shared" si="3"/>
        <v>3.9583333333333328E-3</v>
      </c>
      <c r="I10" s="92">
        <f t="shared" si="4"/>
        <v>4.7685185185185183E-3</v>
      </c>
      <c r="J10" s="107">
        <f t="shared" si="5"/>
        <v>9.25925925925929E-5</v>
      </c>
      <c r="K10" s="59">
        <f t="shared" si="6"/>
        <v>80.489999999999995</v>
      </c>
      <c r="L10" s="70"/>
      <c r="M10" s="92"/>
      <c r="N10" s="43">
        <f t="shared" si="7"/>
        <v>47</v>
      </c>
      <c r="O10" s="150"/>
      <c r="P10" s="43" t="e">
        <f t="shared" si="8"/>
        <v>#N/A</v>
      </c>
      <c r="R10" s="173"/>
      <c r="S10" s="43">
        <v>9</v>
      </c>
      <c r="T10" s="220" t="s">
        <v>396</v>
      </c>
      <c r="U10" s="93">
        <v>3.7037037037037038E-3</v>
      </c>
      <c r="V10" s="93">
        <f t="shared" si="9"/>
        <v>2.3018668139861429E-3</v>
      </c>
      <c r="W10" s="168"/>
      <c r="X10" s="73">
        <v>9</v>
      </c>
      <c r="Y10" s="219" t="s">
        <v>119</v>
      </c>
      <c r="Z10" s="169">
        <v>0.79700000000000004</v>
      </c>
      <c r="AA10" s="113">
        <v>26030</v>
      </c>
    </row>
    <row r="11" spans="1:27" ht="16.5" customHeight="1" x14ac:dyDescent="0.2">
      <c r="A11" s="43">
        <f t="shared" si="0"/>
        <v>10</v>
      </c>
      <c r="B11" s="43">
        <f t="shared" si="1"/>
        <v>21</v>
      </c>
      <c r="C11" s="219" t="s">
        <v>373</v>
      </c>
      <c r="D11" s="193">
        <v>4.0509259259259257E-3</v>
      </c>
      <c r="E11" s="92">
        <v>8.4837962962962959E-4</v>
      </c>
      <c r="F11" s="96">
        <f t="shared" si="2"/>
        <v>8.1018518518518549E-4</v>
      </c>
      <c r="G11" s="92">
        <v>4.8182870370370367E-3</v>
      </c>
      <c r="H11" s="92">
        <f t="shared" si="3"/>
        <v>3.9699074074074072E-3</v>
      </c>
      <c r="I11" s="92">
        <f t="shared" si="4"/>
        <v>4.7800925925925927E-3</v>
      </c>
      <c r="J11" s="107">
        <f t="shared" si="5"/>
        <v>8.1018518518518462E-5</v>
      </c>
      <c r="K11" s="59">
        <f t="shared" si="6"/>
        <v>78.05</v>
      </c>
      <c r="L11" s="70"/>
      <c r="M11" s="92"/>
      <c r="N11" s="43">
        <f t="shared" si="7"/>
        <v>35</v>
      </c>
      <c r="O11" s="150"/>
      <c r="P11" s="43" t="e">
        <f t="shared" si="8"/>
        <v>#N/A</v>
      </c>
      <c r="R11" s="173"/>
      <c r="S11" s="43">
        <v>10</v>
      </c>
      <c r="T11" s="220" t="s">
        <v>128</v>
      </c>
      <c r="U11" s="93">
        <v>3.8194444444444439E-3</v>
      </c>
      <c r="V11" s="93">
        <f t="shared" si="9"/>
        <v>2.3738001519232094E-3</v>
      </c>
      <c r="W11" s="168"/>
      <c r="X11" s="73">
        <v>10</v>
      </c>
      <c r="Y11" s="220" t="s">
        <v>116</v>
      </c>
      <c r="Z11" s="169">
        <v>0.78769999999999996</v>
      </c>
      <c r="AA11" s="113">
        <v>30551</v>
      </c>
    </row>
    <row r="12" spans="1:27" ht="16.5" customHeight="1" x14ac:dyDescent="0.2">
      <c r="A12" s="43">
        <f t="shared" si="0"/>
        <v>11</v>
      </c>
      <c r="B12" s="43">
        <f t="shared" si="1"/>
        <v>15</v>
      </c>
      <c r="C12" s="220" t="s">
        <v>299</v>
      </c>
      <c r="D12" s="193">
        <v>3.9930555555555561E-3</v>
      </c>
      <c r="E12" s="92">
        <v>0</v>
      </c>
      <c r="F12" s="96">
        <f t="shared" si="2"/>
        <v>8.6805555555555507E-4</v>
      </c>
      <c r="G12" s="92">
        <v>3.914351851851852E-3</v>
      </c>
      <c r="H12" s="92">
        <f t="shared" si="3"/>
        <v>3.914351851851852E-3</v>
      </c>
      <c r="I12" s="92">
        <f t="shared" si="4"/>
        <v>4.7824074074074071E-3</v>
      </c>
      <c r="J12" s="107">
        <f t="shared" si="5"/>
        <v>7.8703703703704095E-5</v>
      </c>
      <c r="K12" s="59">
        <f t="shared" si="6"/>
        <v>75.61</v>
      </c>
      <c r="L12" s="70"/>
      <c r="M12" s="92"/>
      <c r="N12" s="43">
        <f t="shared" si="7"/>
        <v>44</v>
      </c>
      <c r="O12" s="150"/>
      <c r="P12" s="43" t="e">
        <f t="shared" si="8"/>
        <v>#N/A</v>
      </c>
      <c r="R12" s="173"/>
      <c r="S12" s="43">
        <v>11</v>
      </c>
      <c r="T12" s="221" t="s">
        <v>173</v>
      </c>
      <c r="U12" s="93">
        <v>3.8194444444444443E-3</v>
      </c>
      <c r="V12" s="93">
        <f t="shared" si="9"/>
        <v>2.3738001519232098E-3</v>
      </c>
      <c r="W12" s="168"/>
      <c r="X12" s="73">
        <v>11</v>
      </c>
      <c r="Y12" s="219" t="s">
        <v>132</v>
      </c>
      <c r="Z12" s="169">
        <v>0.78569999999999995</v>
      </c>
      <c r="AA12" s="113">
        <v>27446</v>
      </c>
    </row>
    <row r="13" spans="1:27" ht="16.5" customHeight="1" x14ac:dyDescent="0.2">
      <c r="A13" s="43">
        <f t="shared" si="0"/>
        <v>12</v>
      </c>
      <c r="B13" s="43">
        <f t="shared" si="1"/>
        <v>40</v>
      </c>
      <c r="C13" s="219" t="s">
        <v>362</v>
      </c>
      <c r="D13" s="193">
        <v>4.6296296296296302E-3</v>
      </c>
      <c r="E13" s="92">
        <v>2.4189814814814812E-4</v>
      </c>
      <c r="F13" s="96">
        <f t="shared" si="2"/>
        <v>2.3148148148148095E-4</v>
      </c>
      <c r="G13" s="92">
        <v>4.7962962962962959E-3</v>
      </c>
      <c r="H13" s="92">
        <f t="shared" si="3"/>
        <v>4.5543981481481477E-3</v>
      </c>
      <c r="I13" s="92">
        <f t="shared" si="4"/>
        <v>4.7858796296296286E-3</v>
      </c>
      <c r="J13" s="107">
        <f t="shared" si="5"/>
        <v>7.5231481481482544E-5</v>
      </c>
      <c r="K13" s="59">
        <f t="shared" si="6"/>
        <v>73.17</v>
      </c>
      <c r="L13" s="70"/>
      <c r="M13" s="92"/>
      <c r="N13" s="43">
        <f t="shared" si="7"/>
        <v>37</v>
      </c>
      <c r="O13" s="150"/>
      <c r="P13" s="43" t="e">
        <f t="shared" si="8"/>
        <v>#N/A</v>
      </c>
      <c r="R13" s="173"/>
      <c r="S13" s="43">
        <v>12</v>
      </c>
      <c r="T13" s="220" t="s">
        <v>258</v>
      </c>
      <c r="U13" s="93">
        <v>3.8449074074074071E-3</v>
      </c>
      <c r="V13" s="93">
        <f t="shared" si="9"/>
        <v>2.3896254862693644E-3</v>
      </c>
      <c r="W13" s="168"/>
      <c r="X13" s="73">
        <v>12</v>
      </c>
      <c r="Y13" s="219" t="s">
        <v>321</v>
      </c>
      <c r="Z13" s="169">
        <v>0.76529999999999998</v>
      </c>
      <c r="AA13" s="113">
        <v>29767</v>
      </c>
    </row>
    <row r="14" spans="1:27" ht="16.5" customHeight="1" x14ac:dyDescent="0.2">
      <c r="A14" s="43">
        <f t="shared" si="0"/>
        <v>13</v>
      </c>
      <c r="B14" s="43">
        <f t="shared" si="1"/>
        <v>22</v>
      </c>
      <c r="C14" s="219" t="s">
        <v>321</v>
      </c>
      <c r="D14" s="193">
        <v>4.0509259259259257E-3</v>
      </c>
      <c r="E14" s="92">
        <v>8.2175925925925917E-4</v>
      </c>
      <c r="F14" s="96">
        <f t="shared" si="2"/>
        <v>8.1018518518518549E-4</v>
      </c>
      <c r="G14" s="92">
        <v>4.8032407407407407E-3</v>
      </c>
      <c r="H14" s="92">
        <f t="shared" si="3"/>
        <v>3.9814814814814817E-3</v>
      </c>
      <c r="I14" s="92">
        <f t="shared" si="4"/>
        <v>4.7916666666666672E-3</v>
      </c>
      <c r="J14" s="107">
        <f t="shared" si="5"/>
        <v>6.9444444444444024E-5</v>
      </c>
      <c r="K14" s="59">
        <f t="shared" si="6"/>
        <v>70.73</v>
      </c>
      <c r="L14" s="70"/>
      <c r="M14" s="92"/>
      <c r="N14" s="43">
        <f t="shared" si="7"/>
        <v>39</v>
      </c>
      <c r="O14" s="150"/>
      <c r="P14" s="43" t="e">
        <f t="shared" si="8"/>
        <v>#N/A</v>
      </c>
      <c r="R14" s="173"/>
      <c r="S14" s="43">
        <v>13</v>
      </c>
      <c r="T14" s="221" t="s">
        <v>76</v>
      </c>
      <c r="U14" s="93">
        <v>3.8495370370370367E-3</v>
      </c>
      <c r="V14" s="93">
        <f t="shared" si="9"/>
        <v>2.3925028197868468E-3</v>
      </c>
      <c r="W14" s="168"/>
      <c r="X14" s="73">
        <v>13</v>
      </c>
      <c r="Y14" s="220" t="s">
        <v>396</v>
      </c>
      <c r="Z14" s="169">
        <v>0.76449999999999996</v>
      </c>
      <c r="AA14" s="113">
        <v>29064</v>
      </c>
    </row>
    <row r="15" spans="1:27" ht="16.5" customHeight="1" x14ac:dyDescent="0.2">
      <c r="A15" s="43">
        <f t="shared" si="0"/>
        <v>14</v>
      </c>
      <c r="B15" s="43">
        <f t="shared" si="1"/>
        <v>6</v>
      </c>
      <c r="C15" s="221" t="s">
        <v>60</v>
      </c>
      <c r="D15" s="193">
        <v>3.7037037037037034E-3</v>
      </c>
      <c r="E15" s="92">
        <v>1.1574074074074073E-4</v>
      </c>
      <c r="F15" s="96">
        <f t="shared" si="2"/>
        <v>1.1574074074074078E-3</v>
      </c>
      <c r="G15" s="92">
        <v>3.7523148148148147E-3</v>
      </c>
      <c r="H15" s="92">
        <f t="shared" si="3"/>
        <v>3.6365740740740738E-3</v>
      </c>
      <c r="I15" s="92">
        <f t="shared" si="4"/>
        <v>4.7939814814814815E-3</v>
      </c>
      <c r="J15" s="107">
        <f t="shared" si="5"/>
        <v>6.7129629629629657E-5</v>
      </c>
      <c r="K15" s="59">
        <f t="shared" si="6"/>
        <v>68.290000000000006</v>
      </c>
      <c r="L15" s="70"/>
      <c r="M15" s="92"/>
      <c r="N15" s="43">
        <f t="shared" si="7"/>
        <v>48</v>
      </c>
      <c r="O15" s="150"/>
      <c r="P15" s="43" t="e">
        <f t="shared" si="8"/>
        <v>#N/A</v>
      </c>
      <c r="R15" s="173"/>
      <c r="S15" s="43">
        <v>14</v>
      </c>
      <c r="T15" s="220" t="s">
        <v>151</v>
      </c>
      <c r="U15" s="93">
        <v>3.9120370370370368E-3</v>
      </c>
      <c r="V15" s="93">
        <f t="shared" si="9"/>
        <v>2.4313468222728631E-3</v>
      </c>
      <c r="W15" s="168"/>
      <c r="X15" s="73">
        <v>14</v>
      </c>
      <c r="Y15" s="220" t="s">
        <v>175</v>
      </c>
      <c r="Z15" s="169">
        <v>0.7591</v>
      </c>
      <c r="AA15" s="113">
        <v>25675</v>
      </c>
    </row>
    <row r="16" spans="1:27" ht="16.5" customHeight="1" x14ac:dyDescent="0.2">
      <c r="A16" s="43">
        <f t="shared" si="0"/>
        <v>15</v>
      </c>
      <c r="B16" s="43">
        <f t="shared" si="1"/>
        <v>25</v>
      </c>
      <c r="C16" s="219" t="s">
        <v>325</v>
      </c>
      <c r="D16" s="193">
        <v>4.0509259259259257E-3</v>
      </c>
      <c r="E16" s="92">
        <v>8.2175925925925917E-4</v>
      </c>
      <c r="F16" s="96">
        <f t="shared" si="2"/>
        <v>8.1018518518518549E-4</v>
      </c>
      <c r="G16" s="92">
        <v>4.8310185185185183E-3</v>
      </c>
      <c r="H16" s="92">
        <f t="shared" si="3"/>
        <v>4.0092592592592593E-3</v>
      </c>
      <c r="I16" s="92">
        <f t="shared" si="4"/>
        <v>4.8194444444444448E-3</v>
      </c>
      <c r="J16" s="107">
        <f t="shared" si="5"/>
        <v>4.1666666666666415E-5</v>
      </c>
      <c r="K16" s="59">
        <f t="shared" si="6"/>
        <v>65.849999999999994</v>
      </c>
      <c r="L16" s="70"/>
      <c r="M16" s="92"/>
      <c r="N16" s="43">
        <f t="shared" si="7"/>
        <v>41</v>
      </c>
      <c r="O16" s="150"/>
      <c r="P16" s="43" t="e">
        <f t="shared" si="8"/>
        <v>#N/A</v>
      </c>
      <c r="R16" s="173"/>
      <c r="S16" s="43">
        <v>15</v>
      </c>
      <c r="T16" s="220" t="s">
        <v>299</v>
      </c>
      <c r="U16" s="93">
        <v>3.914351851851852E-3</v>
      </c>
      <c r="V16" s="93">
        <f t="shared" si="9"/>
        <v>2.432785489031605E-3</v>
      </c>
      <c r="W16" s="168"/>
      <c r="X16" s="73">
        <v>15</v>
      </c>
      <c r="Y16" s="220" t="s">
        <v>151</v>
      </c>
      <c r="Z16" s="169">
        <v>0.75749999999999995</v>
      </c>
      <c r="AA16" s="113">
        <v>28215</v>
      </c>
    </row>
    <row r="17" spans="1:27" ht="16.5" customHeight="1" x14ac:dyDescent="0.2">
      <c r="A17" s="43">
        <f t="shared" si="0"/>
        <v>16</v>
      </c>
      <c r="B17" s="43">
        <f t="shared" si="1"/>
        <v>28</v>
      </c>
      <c r="C17" s="219" t="s">
        <v>125</v>
      </c>
      <c r="D17" s="193">
        <v>4.108796296296297E-3</v>
      </c>
      <c r="E17" s="92">
        <v>7.6388888888888893E-4</v>
      </c>
      <c r="F17" s="96">
        <f t="shared" si="2"/>
        <v>7.5231481481481417E-4</v>
      </c>
      <c r="G17" s="92">
        <v>4.8333333333333336E-3</v>
      </c>
      <c r="H17" s="92">
        <f t="shared" si="3"/>
        <v>4.069444444444445E-3</v>
      </c>
      <c r="I17" s="92">
        <f t="shared" si="4"/>
        <v>4.8217592592592591E-3</v>
      </c>
      <c r="J17" s="107">
        <f t="shared" si="5"/>
        <v>3.9351851851852047E-5</v>
      </c>
      <c r="K17" s="59">
        <f t="shared" si="6"/>
        <v>63.41</v>
      </c>
      <c r="L17" s="70"/>
      <c r="M17" s="92"/>
      <c r="N17" s="43">
        <f t="shared" si="7"/>
        <v>64</v>
      </c>
      <c r="O17" s="150"/>
      <c r="P17" s="43" t="e">
        <f t="shared" si="8"/>
        <v>#N/A</v>
      </c>
      <c r="R17" s="173"/>
      <c r="S17" s="43">
        <v>16</v>
      </c>
      <c r="T17" s="221" t="s">
        <v>347</v>
      </c>
      <c r="U17" s="93">
        <v>3.914351851851852E-3</v>
      </c>
      <c r="V17" s="93">
        <f t="shared" si="9"/>
        <v>2.432785489031605E-3</v>
      </c>
      <c r="W17" s="168"/>
      <c r="X17" s="73">
        <v>16</v>
      </c>
      <c r="Y17" s="221" t="s">
        <v>98</v>
      </c>
      <c r="Z17" s="169">
        <v>0.754</v>
      </c>
      <c r="AA17" s="113">
        <v>20133</v>
      </c>
    </row>
    <row r="18" spans="1:27" ht="16.5" customHeight="1" x14ac:dyDescent="0.2">
      <c r="A18" s="43">
        <f t="shared" si="0"/>
        <v>17</v>
      </c>
      <c r="B18" s="43">
        <f t="shared" si="1"/>
        <v>12</v>
      </c>
      <c r="C18" s="220" t="s">
        <v>258</v>
      </c>
      <c r="D18" s="193">
        <v>3.8773148148148143E-3</v>
      </c>
      <c r="E18" s="92">
        <v>1.4351851851851852E-4</v>
      </c>
      <c r="F18" s="96">
        <f t="shared" si="2"/>
        <v>9.8379629629629685E-4</v>
      </c>
      <c r="G18" s="92">
        <v>3.9884259259259256E-3</v>
      </c>
      <c r="H18" s="92">
        <f t="shared" si="3"/>
        <v>3.8449074074074071E-3</v>
      </c>
      <c r="I18" s="92">
        <f t="shared" si="4"/>
        <v>4.828703703703704E-3</v>
      </c>
      <c r="J18" s="107">
        <f t="shared" si="5"/>
        <v>3.2407407407407211E-5</v>
      </c>
      <c r="K18" s="59">
        <f t="shared" si="6"/>
        <v>60.98</v>
      </c>
      <c r="L18" s="70"/>
      <c r="M18" s="92"/>
      <c r="N18" s="43">
        <f t="shared" si="7"/>
        <v>44</v>
      </c>
      <c r="O18" s="150"/>
      <c r="P18" s="43" t="e">
        <f t="shared" si="8"/>
        <v>#N/A</v>
      </c>
      <c r="R18" s="173"/>
      <c r="S18" s="43">
        <v>17</v>
      </c>
      <c r="T18" s="221" t="s">
        <v>327</v>
      </c>
      <c r="U18" s="93">
        <v>3.9178240740740744E-3</v>
      </c>
      <c r="V18" s="93">
        <f t="shared" si="9"/>
        <v>2.4349434891697171E-3</v>
      </c>
      <c r="W18" s="168"/>
      <c r="X18" s="73">
        <v>17</v>
      </c>
      <c r="Y18" s="221" t="s">
        <v>76</v>
      </c>
      <c r="Z18" s="169">
        <v>0.753</v>
      </c>
      <c r="AA18" s="113">
        <v>27236</v>
      </c>
    </row>
    <row r="19" spans="1:27" ht="16.5" customHeight="1" x14ac:dyDescent="0.2">
      <c r="A19" s="43">
        <f t="shared" si="0"/>
        <v>18</v>
      </c>
      <c r="B19" s="43">
        <f t="shared" si="1"/>
        <v>1</v>
      </c>
      <c r="C19" s="221" t="s">
        <v>182</v>
      </c>
      <c r="D19" s="193">
        <v>3.2175925925925926E-3</v>
      </c>
      <c r="E19" s="92">
        <v>6.0648148148148139E-4</v>
      </c>
      <c r="F19" s="96">
        <f t="shared" si="2"/>
        <v>1.6435185185185185E-3</v>
      </c>
      <c r="G19" s="92">
        <v>3.7986111111111107E-3</v>
      </c>
      <c r="H19" s="92">
        <f t="shared" si="3"/>
        <v>3.1921296296296294E-3</v>
      </c>
      <c r="I19" s="92">
        <f t="shared" si="4"/>
        <v>4.8356481481481479E-3</v>
      </c>
      <c r="J19" s="107">
        <f t="shared" si="5"/>
        <v>2.5462962962963243E-5</v>
      </c>
      <c r="K19" s="59">
        <f t="shared" si="6"/>
        <v>58.54</v>
      </c>
      <c r="L19" s="70"/>
      <c r="M19" s="92"/>
      <c r="N19" s="43">
        <f t="shared" si="7"/>
        <v>35</v>
      </c>
      <c r="O19" s="150"/>
      <c r="P19" s="43" t="e">
        <f t="shared" si="8"/>
        <v>#N/A</v>
      </c>
      <c r="R19" s="173"/>
      <c r="S19" s="43">
        <v>18</v>
      </c>
      <c r="T19" s="220" t="s">
        <v>39</v>
      </c>
      <c r="U19" s="93">
        <v>3.9236111111111112E-3</v>
      </c>
      <c r="V19" s="93">
        <f t="shared" si="9"/>
        <v>2.4385401560665701E-3</v>
      </c>
      <c r="W19" s="168"/>
      <c r="X19" s="73">
        <v>18</v>
      </c>
      <c r="Y19" s="219" t="s">
        <v>44</v>
      </c>
      <c r="Z19" s="169">
        <v>0.75260000000000005</v>
      </c>
      <c r="AA19" s="113">
        <v>30591</v>
      </c>
    </row>
    <row r="20" spans="1:27" ht="16.5" customHeight="1" x14ac:dyDescent="0.2">
      <c r="A20" s="43">
        <f t="shared" si="0"/>
        <v>19</v>
      </c>
      <c r="B20" s="43">
        <f t="shared" si="1"/>
        <v>27</v>
      </c>
      <c r="C20" s="219" t="s">
        <v>197</v>
      </c>
      <c r="D20" s="193">
        <v>4.0509259259259257E-3</v>
      </c>
      <c r="E20" s="92">
        <v>8.2175925925925917E-4</v>
      </c>
      <c r="F20" s="96">
        <f t="shared" si="2"/>
        <v>8.1018518518518549E-4</v>
      </c>
      <c r="G20" s="92">
        <v>4.8611111111111112E-3</v>
      </c>
      <c r="H20" s="92">
        <f t="shared" si="3"/>
        <v>4.0393518518518521E-3</v>
      </c>
      <c r="I20" s="92">
        <f t="shared" si="4"/>
        <v>4.8495370370370376E-3</v>
      </c>
      <c r="J20" s="107">
        <f t="shared" si="5"/>
        <v>1.157407407407357E-5</v>
      </c>
      <c r="K20" s="59">
        <f t="shared" si="6"/>
        <v>56.1</v>
      </c>
      <c r="L20" s="70"/>
      <c r="M20" s="92"/>
      <c r="N20" s="43">
        <f t="shared" si="7"/>
        <v>39</v>
      </c>
      <c r="O20" s="150"/>
      <c r="P20" s="43" t="e">
        <f t="shared" si="8"/>
        <v>#N/A</v>
      </c>
      <c r="R20" s="173"/>
      <c r="S20" s="43">
        <v>19</v>
      </c>
      <c r="T20" s="219" t="s">
        <v>44</v>
      </c>
      <c r="U20" s="93">
        <v>3.945601851851852E-3</v>
      </c>
      <c r="V20" s="93">
        <f t="shared" si="9"/>
        <v>2.4522074902746127E-3</v>
      </c>
      <c r="W20" s="168"/>
      <c r="X20" s="73">
        <v>19</v>
      </c>
      <c r="Y20" s="221" t="s">
        <v>347</v>
      </c>
      <c r="Z20" s="169">
        <v>0.75249999999999995</v>
      </c>
      <c r="AA20" s="113">
        <v>29063</v>
      </c>
    </row>
    <row r="21" spans="1:27" ht="16.5" customHeight="1" x14ac:dyDescent="0.2">
      <c r="A21" s="43">
        <f t="shared" si="0"/>
        <v>20</v>
      </c>
      <c r="B21" s="43">
        <f t="shared" si="1"/>
        <v>23</v>
      </c>
      <c r="C21" s="220" t="s">
        <v>116</v>
      </c>
      <c r="D21" s="193">
        <v>3.9930555555555561E-3</v>
      </c>
      <c r="E21" s="92">
        <v>0</v>
      </c>
      <c r="F21" s="96">
        <f t="shared" si="2"/>
        <v>8.6805555555555507E-4</v>
      </c>
      <c r="G21" s="92">
        <v>3.9872685185185193E-3</v>
      </c>
      <c r="H21" s="92">
        <f t="shared" si="3"/>
        <v>3.9872685185185193E-3</v>
      </c>
      <c r="I21" s="92">
        <f t="shared" si="4"/>
        <v>4.8553240740740744E-3</v>
      </c>
      <c r="J21" s="107">
        <f t="shared" si="5"/>
        <v>5.7870370370367852E-6</v>
      </c>
      <c r="K21" s="59">
        <f t="shared" si="6"/>
        <v>53.66</v>
      </c>
      <c r="L21" s="70"/>
      <c r="M21" s="92"/>
      <c r="N21" s="43">
        <f t="shared" si="7"/>
        <v>42</v>
      </c>
      <c r="O21" s="150"/>
      <c r="P21" s="43" t="e">
        <f t="shared" si="8"/>
        <v>#N/A</v>
      </c>
      <c r="R21" s="173"/>
      <c r="S21" s="43">
        <v>20</v>
      </c>
      <c r="T21" s="219" t="s">
        <v>353</v>
      </c>
      <c r="U21" s="93">
        <v>3.9583333333333328E-3</v>
      </c>
      <c r="V21" s="93">
        <f t="shared" si="9"/>
        <v>2.46012015744769E-3</v>
      </c>
      <c r="W21" s="168"/>
      <c r="X21" s="73">
        <v>20</v>
      </c>
      <c r="Y21" s="221" t="s">
        <v>191</v>
      </c>
      <c r="Z21" s="169">
        <v>0.74050000000000005</v>
      </c>
      <c r="AA21" s="113">
        <v>28142</v>
      </c>
    </row>
    <row r="22" spans="1:27" ht="16.5" customHeight="1" x14ac:dyDescent="0.2">
      <c r="A22" s="43">
        <f t="shared" si="0"/>
        <v>21</v>
      </c>
      <c r="B22" s="43">
        <f t="shared" si="1"/>
        <v>33</v>
      </c>
      <c r="C22" s="219" t="s">
        <v>47</v>
      </c>
      <c r="D22" s="193">
        <v>4.2245370370370371E-3</v>
      </c>
      <c r="E22" s="92">
        <v>6.5277777777777773E-4</v>
      </c>
      <c r="F22" s="96">
        <f t="shared" si="2"/>
        <v>6.3657407407407413E-4</v>
      </c>
      <c r="G22" s="92">
        <v>4.8761574074074072E-3</v>
      </c>
      <c r="H22" s="92">
        <f t="shared" si="3"/>
        <v>4.223379629629629E-3</v>
      </c>
      <c r="I22" s="92">
        <f t="shared" si="4"/>
        <v>4.8599537037037031E-3</v>
      </c>
      <c r="J22" s="107">
        <f t="shared" si="5"/>
        <v>1.1574074074080509E-6</v>
      </c>
      <c r="K22" s="59">
        <f t="shared" si="6"/>
        <v>51.22</v>
      </c>
      <c r="L22" s="70"/>
      <c r="M22" s="92"/>
      <c r="N22" s="43">
        <f t="shared" si="7"/>
        <v>49</v>
      </c>
      <c r="O22" s="150"/>
      <c r="P22" s="43" t="e">
        <f t="shared" si="8"/>
        <v>#N/A</v>
      </c>
      <c r="R22" s="173"/>
      <c r="S22" s="43">
        <v>21</v>
      </c>
      <c r="T22" s="219" t="s">
        <v>373</v>
      </c>
      <c r="U22" s="93">
        <v>3.9699074074074072E-3</v>
      </c>
      <c r="V22" s="93">
        <f t="shared" si="9"/>
        <v>2.4673134912413966E-3</v>
      </c>
      <c r="W22" s="168"/>
      <c r="X22" s="73">
        <v>21</v>
      </c>
      <c r="Y22" s="220" t="s">
        <v>258</v>
      </c>
      <c r="Z22" s="169">
        <v>0.73080000000000001</v>
      </c>
      <c r="AA22" s="113">
        <v>25493</v>
      </c>
    </row>
    <row r="23" spans="1:27" ht="16.5" customHeight="1" x14ac:dyDescent="0.2">
      <c r="A23" s="43">
        <f t="shared" si="0"/>
        <v>22</v>
      </c>
      <c r="B23" s="43">
        <f t="shared" si="1"/>
        <v>11</v>
      </c>
      <c r="C23" s="221" t="s">
        <v>173</v>
      </c>
      <c r="D23" s="193">
        <v>3.8194444444444443E-3</v>
      </c>
      <c r="E23" s="92">
        <v>0</v>
      </c>
      <c r="F23" s="96">
        <f t="shared" si="2"/>
        <v>1.0416666666666669E-3</v>
      </c>
      <c r="G23" s="92">
        <v>3.8194444444444443E-3</v>
      </c>
      <c r="H23" s="92">
        <f t="shared" si="3"/>
        <v>3.8194444444444443E-3</v>
      </c>
      <c r="I23" s="92">
        <f t="shared" si="4"/>
        <v>4.8611111111111112E-3</v>
      </c>
      <c r="J23" s="139">
        <f t="shared" si="5"/>
        <v>0</v>
      </c>
      <c r="K23" s="59">
        <f t="shared" si="6"/>
        <v>48.78</v>
      </c>
      <c r="L23" s="70"/>
      <c r="M23" s="92"/>
      <c r="N23" s="43">
        <f t="shared" si="7"/>
        <v>34</v>
      </c>
      <c r="O23" s="150"/>
      <c r="P23" s="43" t="e">
        <f t="shared" si="8"/>
        <v>#N/A</v>
      </c>
      <c r="R23" s="173"/>
      <c r="S23" s="43">
        <v>22</v>
      </c>
      <c r="T23" s="219" t="s">
        <v>321</v>
      </c>
      <c r="U23" s="93">
        <v>3.9814814814814817E-3</v>
      </c>
      <c r="V23" s="93">
        <f t="shared" si="9"/>
        <v>2.4745068250351036E-3</v>
      </c>
      <c r="W23" s="168"/>
      <c r="X23" s="73">
        <v>22</v>
      </c>
      <c r="Y23" s="220" t="s">
        <v>128</v>
      </c>
      <c r="Z23" s="169">
        <v>0.73</v>
      </c>
      <c r="AA23" s="113">
        <v>30976</v>
      </c>
    </row>
    <row r="24" spans="1:27" ht="16.5" customHeight="1" x14ac:dyDescent="0.2">
      <c r="A24" s="43">
        <f t="shared" si="0"/>
        <v>23</v>
      </c>
      <c r="B24" s="43">
        <f t="shared" si="1"/>
        <v>24</v>
      </c>
      <c r="C24" s="220" t="s">
        <v>80</v>
      </c>
      <c r="D24" s="193">
        <v>3.9930555555555561E-3</v>
      </c>
      <c r="E24" s="92">
        <v>0</v>
      </c>
      <c r="F24" s="96">
        <f t="shared" si="2"/>
        <v>8.6805555555555507E-4</v>
      </c>
      <c r="G24" s="92">
        <v>3.9942129629629633E-3</v>
      </c>
      <c r="H24" s="92">
        <f t="shared" si="3"/>
        <v>3.9942129629629633E-3</v>
      </c>
      <c r="I24" s="92">
        <f t="shared" si="4"/>
        <v>4.8622685185185184E-3</v>
      </c>
      <c r="J24" s="139">
        <f t="shared" si="5"/>
        <v>1.1574074074071836E-6</v>
      </c>
      <c r="K24" s="59">
        <f t="shared" si="6"/>
        <v>46.34</v>
      </c>
      <c r="L24" s="70"/>
      <c r="M24" s="92"/>
      <c r="N24" s="43">
        <f t="shared" si="7"/>
        <v>37</v>
      </c>
      <c r="O24" s="150"/>
      <c r="P24" s="43" t="e">
        <f t="shared" si="8"/>
        <v>#N/A</v>
      </c>
      <c r="R24" s="173"/>
      <c r="S24" s="43">
        <v>23</v>
      </c>
      <c r="T24" s="220" t="s">
        <v>116</v>
      </c>
      <c r="U24" s="93">
        <v>3.9872685185185193E-3</v>
      </c>
      <c r="V24" s="93">
        <f t="shared" si="9"/>
        <v>2.4781034919319571E-3</v>
      </c>
      <c r="W24" s="168"/>
      <c r="X24" s="73">
        <v>23</v>
      </c>
      <c r="Y24" s="219" t="s">
        <v>353</v>
      </c>
      <c r="Z24" s="169">
        <v>0.72660000000000002</v>
      </c>
      <c r="AA24" s="113">
        <v>29907</v>
      </c>
    </row>
    <row r="25" spans="1:27" ht="16.5" customHeight="1" x14ac:dyDescent="0.2">
      <c r="A25" s="43">
        <f t="shared" si="0"/>
        <v>24</v>
      </c>
      <c r="B25" s="43">
        <f t="shared" si="1"/>
        <v>2</v>
      </c>
      <c r="C25" s="221" t="s">
        <v>32</v>
      </c>
      <c r="D25" s="193">
        <v>3.472222222222222E-3</v>
      </c>
      <c r="E25" s="92">
        <v>3.5300925925925924E-4</v>
      </c>
      <c r="F25" s="96">
        <f t="shared" si="2"/>
        <v>1.3888888888888892E-3</v>
      </c>
      <c r="G25" s="92">
        <v>3.8298611111111107E-3</v>
      </c>
      <c r="H25" s="92">
        <f t="shared" si="3"/>
        <v>3.4768518518518516E-3</v>
      </c>
      <c r="I25" s="92">
        <f t="shared" si="4"/>
        <v>4.8657407407407408E-3</v>
      </c>
      <c r="J25" s="139">
        <f t="shared" si="5"/>
        <v>4.6296296296296016E-6</v>
      </c>
      <c r="K25" s="59">
        <f t="shared" si="6"/>
        <v>43.9</v>
      </c>
      <c r="L25" s="70"/>
      <c r="M25" s="92"/>
      <c r="N25" s="43">
        <f t="shared" si="7"/>
        <v>44</v>
      </c>
      <c r="O25" s="150"/>
      <c r="P25" s="43" t="e">
        <f t="shared" si="8"/>
        <v>#N/A</v>
      </c>
      <c r="R25" s="173"/>
      <c r="S25" s="43">
        <v>24</v>
      </c>
      <c r="T25" s="220" t="s">
        <v>80</v>
      </c>
      <c r="U25" s="93">
        <v>3.9942129629629633E-3</v>
      </c>
      <c r="V25" s="93">
        <f t="shared" si="9"/>
        <v>2.4824194922081809E-3</v>
      </c>
      <c r="W25" s="168"/>
      <c r="X25" s="73">
        <v>24</v>
      </c>
      <c r="Y25" s="220" t="s">
        <v>299</v>
      </c>
      <c r="Z25" s="169">
        <v>0.71779999999999999</v>
      </c>
      <c r="AA25" s="113">
        <v>27386</v>
      </c>
    </row>
    <row r="26" spans="1:27" ht="16.5" customHeight="1" x14ac:dyDescent="0.2">
      <c r="A26" s="43">
        <f t="shared" si="0"/>
        <v>25</v>
      </c>
      <c r="B26" s="43">
        <f t="shared" si="1"/>
        <v>30</v>
      </c>
      <c r="C26" s="219" t="s">
        <v>124</v>
      </c>
      <c r="D26" s="193">
        <v>4.108796296296297E-3</v>
      </c>
      <c r="E26" s="92">
        <v>7.6388888888888893E-4</v>
      </c>
      <c r="F26" s="96">
        <f t="shared" si="2"/>
        <v>7.5231481481481417E-4</v>
      </c>
      <c r="G26" s="92">
        <v>4.8969907407407408E-3</v>
      </c>
      <c r="H26" s="92">
        <f t="shared" si="3"/>
        <v>4.1331018518518522E-3</v>
      </c>
      <c r="I26" s="92">
        <f t="shared" si="4"/>
        <v>4.8854166666666664E-3</v>
      </c>
      <c r="J26" s="139">
        <f t="shared" si="5"/>
        <v>2.4305555555555192E-5</v>
      </c>
      <c r="K26" s="59">
        <f t="shared" si="6"/>
        <v>41.46</v>
      </c>
      <c r="L26" s="70"/>
      <c r="M26" s="92"/>
      <c r="N26" s="43">
        <f t="shared" si="7"/>
        <v>44</v>
      </c>
      <c r="O26" s="150"/>
      <c r="P26" s="43" t="e">
        <f t="shared" si="8"/>
        <v>#N/A</v>
      </c>
      <c r="R26" s="173"/>
      <c r="S26" s="43">
        <v>25</v>
      </c>
      <c r="T26" s="219" t="s">
        <v>325</v>
      </c>
      <c r="U26" s="93">
        <v>4.0092592592592593E-3</v>
      </c>
      <c r="V26" s="93">
        <f t="shared" si="9"/>
        <v>2.4917708261399996E-3</v>
      </c>
      <c r="W26" s="168"/>
      <c r="X26" s="73">
        <v>25</v>
      </c>
      <c r="Y26" s="220" t="s">
        <v>39</v>
      </c>
      <c r="Z26" s="169">
        <v>0.71609999999999996</v>
      </c>
      <c r="AA26" s="113">
        <v>27347</v>
      </c>
    </row>
    <row r="27" spans="1:27" ht="16.5" customHeight="1" x14ac:dyDescent="0.2">
      <c r="A27" s="43">
        <f t="shared" si="0"/>
        <v>26</v>
      </c>
      <c r="B27" s="43">
        <f t="shared" si="1"/>
        <v>13</v>
      </c>
      <c r="C27" s="221" t="s">
        <v>76</v>
      </c>
      <c r="D27" s="193">
        <v>3.8194444444444443E-3</v>
      </c>
      <c r="E27" s="92">
        <v>0</v>
      </c>
      <c r="F27" s="96">
        <f t="shared" si="2"/>
        <v>1.0416666666666669E-3</v>
      </c>
      <c r="G27" s="92">
        <v>3.8495370370370367E-3</v>
      </c>
      <c r="H27" s="92">
        <f t="shared" si="3"/>
        <v>3.8495370370370367E-3</v>
      </c>
      <c r="I27" s="92">
        <f t="shared" si="4"/>
        <v>4.8912037037037032E-3</v>
      </c>
      <c r="J27" s="139">
        <f t="shared" si="5"/>
        <v>3.0092592592592411E-5</v>
      </c>
      <c r="K27" s="59">
        <f t="shared" si="6"/>
        <v>39.020000000000003</v>
      </c>
      <c r="L27" s="70"/>
      <c r="M27" s="92"/>
      <c r="N27" s="43">
        <f t="shared" si="7"/>
        <v>48</v>
      </c>
      <c r="O27" s="150"/>
      <c r="P27" s="43" t="e">
        <f t="shared" si="8"/>
        <v>#N/A</v>
      </c>
      <c r="Q27" s="84"/>
      <c r="R27" s="173"/>
      <c r="S27" s="43">
        <v>26</v>
      </c>
      <c r="T27" s="220" t="s">
        <v>46</v>
      </c>
      <c r="U27" s="93">
        <v>4.0335648148148153E-3</v>
      </c>
      <c r="V27" s="93">
        <f t="shared" si="9"/>
        <v>2.506876827106784E-3</v>
      </c>
      <c r="W27" s="168"/>
      <c r="X27" s="73">
        <v>26</v>
      </c>
      <c r="Y27" s="221" t="s">
        <v>70</v>
      </c>
      <c r="Z27" s="169">
        <v>0.69989999999999997</v>
      </c>
      <c r="AA27" s="113">
        <v>25937</v>
      </c>
    </row>
    <row r="28" spans="1:27" ht="16.5" customHeight="1" x14ac:dyDescent="0.2">
      <c r="A28" s="43">
        <f t="shared" si="0"/>
        <v>27</v>
      </c>
      <c r="B28" s="43">
        <f t="shared" si="1"/>
        <v>14</v>
      </c>
      <c r="C28" s="220" t="s">
        <v>151</v>
      </c>
      <c r="D28" s="193">
        <v>3.8773148148148143E-3</v>
      </c>
      <c r="E28" s="92">
        <v>1.3194444444444443E-4</v>
      </c>
      <c r="F28" s="96">
        <f t="shared" si="2"/>
        <v>9.8379629629629685E-4</v>
      </c>
      <c r="G28" s="92">
        <v>4.0439814814814809E-3</v>
      </c>
      <c r="H28" s="92">
        <f t="shared" si="3"/>
        <v>3.9120370370370368E-3</v>
      </c>
      <c r="I28" s="92">
        <f t="shared" si="4"/>
        <v>4.8958333333333336E-3</v>
      </c>
      <c r="J28" s="139">
        <f t="shared" si="5"/>
        <v>3.4722222222222446E-5</v>
      </c>
      <c r="K28" s="59">
        <f t="shared" si="6"/>
        <v>36.590000000000003</v>
      </c>
      <c r="L28" s="70"/>
      <c r="M28" s="92"/>
      <c r="N28" s="43">
        <f t="shared" si="7"/>
        <v>35</v>
      </c>
      <c r="O28" s="150"/>
      <c r="P28" s="43" t="e">
        <f t="shared" si="8"/>
        <v>#N/A</v>
      </c>
      <c r="R28" s="173"/>
      <c r="S28" s="43">
        <v>27</v>
      </c>
      <c r="T28" s="219" t="s">
        <v>197</v>
      </c>
      <c r="U28" s="93">
        <v>4.0393518518518521E-3</v>
      </c>
      <c r="V28" s="93">
        <f t="shared" si="9"/>
        <v>2.5104734940036371E-3</v>
      </c>
      <c r="W28" s="168"/>
      <c r="X28" s="73">
        <v>27</v>
      </c>
      <c r="Y28" s="219" t="s">
        <v>68</v>
      </c>
      <c r="Z28" s="169">
        <v>0.69199999999999995</v>
      </c>
      <c r="AA28" s="113">
        <v>30558</v>
      </c>
    </row>
    <row r="29" spans="1:27" ht="16.5" customHeight="1" x14ac:dyDescent="0.2">
      <c r="A29" s="43">
        <f t="shared" si="0"/>
        <v>28</v>
      </c>
      <c r="B29" s="43">
        <f t="shared" si="1"/>
        <v>35</v>
      </c>
      <c r="C29" s="219" t="s">
        <v>67</v>
      </c>
      <c r="D29" s="193">
        <v>4.2245370370370371E-3</v>
      </c>
      <c r="E29" s="92">
        <v>6.5277777777777773E-4</v>
      </c>
      <c r="F29" s="96">
        <f t="shared" si="2"/>
        <v>6.3657407407407413E-4</v>
      </c>
      <c r="G29" s="92">
        <v>4.9178240740740745E-3</v>
      </c>
      <c r="H29" s="92">
        <f t="shared" si="3"/>
        <v>4.2650462962962963E-3</v>
      </c>
      <c r="I29" s="92">
        <f t="shared" si="4"/>
        <v>4.9016203703703704E-3</v>
      </c>
      <c r="J29" s="139">
        <f t="shared" si="5"/>
        <v>4.0509259259259231E-5</v>
      </c>
      <c r="K29" s="59">
        <f t="shared" si="6"/>
        <v>34.15</v>
      </c>
      <c r="L29" s="70"/>
      <c r="M29" s="92"/>
      <c r="N29" s="43">
        <f t="shared" si="7"/>
        <v>44</v>
      </c>
      <c r="O29" s="150"/>
      <c r="P29" s="43" t="e">
        <f t="shared" si="8"/>
        <v>#N/A</v>
      </c>
      <c r="R29" s="173"/>
      <c r="S29" s="43">
        <v>28</v>
      </c>
      <c r="T29" s="219" t="s">
        <v>125</v>
      </c>
      <c r="U29" s="93">
        <v>4.069444444444445E-3</v>
      </c>
      <c r="V29" s="93">
        <f t="shared" si="9"/>
        <v>2.5291761618672745E-3</v>
      </c>
      <c r="W29" s="168"/>
      <c r="X29" s="73">
        <v>28</v>
      </c>
      <c r="Y29" s="219" t="s">
        <v>47</v>
      </c>
      <c r="Z29" s="169">
        <v>0.69189999999999996</v>
      </c>
      <c r="AA29" s="113">
        <v>27344</v>
      </c>
    </row>
    <row r="30" spans="1:27" ht="16.5" customHeight="1" x14ac:dyDescent="0.2">
      <c r="A30" s="43">
        <f t="shared" si="0"/>
        <v>28</v>
      </c>
      <c r="B30" s="43">
        <f t="shared" si="1"/>
        <v>26</v>
      </c>
      <c r="C30" s="220" t="s">
        <v>46</v>
      </c>
      <c r="D30" s="193">
        <v>3.9930555555555561E-3</v>
      </c>
      <c r="E30" s="92">
        <v>0</v>
      </c>
      <c r="F30" s="96">
        <f t="shared" si="2"/>
        <v>8.6805555555555507E-4</v>
      </c>
      <c r="G30" s="92">
        <v>4.0335648148148153E-3</v>
      </c>
      <c r="H30" s="92">
        <f t="shared" si="3"/>
        <v>4.0335648148148153E-3</v>
      </c>
      <c r="I30" s="92">
        <f t="shared" si="4"/>
        <v>4.9016203703703704E-3</v>
      </c>
      <c r="J30" s="139">
        <f t="shared" si="5"/>
        <v>4.0509259259259231E-5</v>
      </c>
      <c r="K30" s="59">
        <f t="shared" si="6"/>
        <v>34.15</v>
      </c>
      <c r="L30" s="70"/>
      <c r="M30" s="92"/>
      <c r="N30" s="43">
        <f t="shared" si="7"/>
        <v>41</v>
      </c>
      <c r="O30" s="150"/>
      <c r="P30" s="43" t="e">
        <f t="shared" si="8"/>
        <v>#N/A</v>
      </c>
      <c r="R30" s="173"/>
      <c r="S30" s="43">
        <v>46</v>
      </c>
      <c r="T30" s="220" t="s">
        <v>175</v>
      </c>
      <c r="U30" s="93">
        <v>4.0775462962962961E-3</v>
      </c>
      <c r="V30" s="93">
        <f t="shared" si="9"/>
        <v>2.534211495522869E-3</v>
      </c>
      <c r="W30" s="168"/>
      <c r="X30" s="73">
        <v>46</v>
      </c>
      <c r="Y30" s="221" t="s">
        <v>173</v>
      </c>
      <c r="Z30" s="169">
        <v>0.6855</v>
      </c>
      <c r="AA30" s="113">
        <v>28398</v>
      </c>
    </row>
    <row r="31" spans="1:27" ht="16.5" customHeight="1" x14ac:dyDescent="0.2">
      <c r="A31" s="43">
        <f t="shared" si="0"/>
        <v>30</v>
      </c>
      <c r="B31" s="43">
        <f t="shared" si="1"/>
        <v>18</v>
      </c>
      <c r="C31" s="220" t="s">
        <v>39</v>
      </c>
      <c r="D31" s="193">
        <v>3.8773148148148143E-3</v>
      </c>
      <c r="E31" s="92">
        <v>1.3194444444444443E-4</v>
      </c>
      <c r="F31" s="96">
        <f t="shared" si="2"/>
        <v>9.8379629629629685E-4</v>
      </c>
      <c r="G31" s="92">
        <v>4.0555555555555553E-3</v>
      </c>
      <c r="H31" s="92">
        <f t="shared" si="3"/>
        <v>3.9236111111111112E-3</v>
      </c>
      <c r="I31" s="92">
        <f t="shared" si="4"/>
        <v>4.9074074074074081E-3</v>
      </c>
      <c r="J31" s="139">
        <f t="shared" si="5"/>
        <v>4.6296296296296884E-5</v>
      </c>
      <c r="K31" s="59">
        <f t="shared" si="6"/>
        <v>29.27</v>
      </c>
      <c r="L31" s="70"/>
      <c r="M31" s="92"/>
      <c r="N31" s="43">
        <f t="shared" si="7"/>
        <v>44</v>
      </c>
      <c r="O31" s="150"/>
      <c r="P31" s="43" t="e">
        <f t="shared" si="8"/>
        <v>#N/A</v>
      </c>
      <c r="R31" s="173"/>
      <c r="S31" s="43">
        <v>47</v>
      </c>
      <c r="T31" s="219" t="s">
        <v>124</v>
      </c>
      <c r="U31" s="93">
        <v>4.1331018518518522E-3</v>
      </c>
      <c r="V31" s="93">
        <f t="shared" si="9"/>
        <v>2.5687394977326615E-3</v>
      </c>
      <c r="W31" s="168"/>
      <c r="X31" s="73">
        <v>47</v>
      </c>
      <c r="Y31" s="219" t="s">
        <v>325</v>
      </c>
      <c r="Z31" s="169">
        <v>0.68510000000000004</v>
      </c>
      <c r="AA31" s="113">
        <v>27260</v>
      </c>
    </row>
    <row r="32" spans="1:27" ht="16.5" customHeight="1" x14ac:dyDescent="0.2">
      <c r="A32" s="43">
        <f t="shared" si="0"/>
        <v>31</v>
      </c>
      <c r="B32" s="43">
        <f t="shared" si="1"/>
        <v>4</v>
      </c>
      <c r="C32" s="221" t="s">
        <v>85</v>
      </c>
      <c r="D32" s="193">
        <v>3.414351851851852E-3</v>
      </c>
      <c r="E32" s="92">
        <v>4.1319444444444449E-4</v>
      </c>
      <c r="F32" s="96">
        <f t="shared" si="2"/>
        <v>1.4467592592592592E-3</v>
      </c>
      <c r="G32" s="92">
        <v>3.9027777777777776E-3</v>
      </c>
      <c r="H32" s="92">
        <f t="shared" si="3"/>
        <v>3.4895833333333333E-3</v>
      </c>
      <c r="I32" s="92">
        <f t="shared" si="4"/>
        <v>4.9363425925925929E-3</v>
      </c>
      <c r="J32" s="139">
        <f t="shared" si="5"/>
        <v>7.5231481481481243E-5</v>
      </c>
      <c r="K32" s="59">
        <f t="shared" si="6"/>
        <v>26.83</v>
      </c>
      <c r="L32" s="70"/>
      <c r="M32" s="92"/>
      <c r="N32" s="43">
        <f t="shared" si="7"/>
        <v>44</v>
      </c>
      <c r="O32" s="150"/>
      <c r="P32" s="43" t="e">
        <f t="shared" si="8"/>
        <v>#N/A</v>
      </c>
      <c r="R32" s="173"/>
      <c r="S32" s="43">
        <v>48</v>
      </c>
      <c r="T32" s="220" t="s">
        <v>91</v>
      </c>
      <c r="U32" s="93">
        <v>4.1585648148148146E-3</v>
      </c>
      <c r="V32" s="93">
        <f t="shared" si="9"/>
        <v>2.5845648320788157E-3</v>
      </c>
      <c r="W32" s="168"/>
      <c r="X32" s="73">
        <v>48</v>
      </c>
      <c r="Y32" s="220" t="s">
        <v>55</v>
      </c>
      <c r="Z32" s="169">
        <v>0.68289999999999995</v>
      </c>
      <c r="AA32" s="113">
        <v>27296</v>
      </c>
    </row>
    <row r="33" spans="1:27" ht="16.5" customHeight="1" x14ac:dyDescent="0.2">
      <c r="A33" s="43">
        <f t="shared" si="0"/>
        <v>32</v>
      </c>
      <c r="B33" s="43">
        <f t="shared" si="1"/>
        <v>15</v>
      </c>
      <c r="C33" s="221" t="s">
        <v>347</v>
      </c>
      <c r="D33" s="193">
        <v>3.8194444444444443E-3</v>
      </c>
      <c r="E33" s="92">
        <v>0</v>
      </c>
      <c r="F33" s="96">
        <f t="shared" si="2"/>
        <v>1.0416666666666669E-3</v>
      </c>
      <c r="G33" s="92">
        <v>3.914351851851852E-3</v>
      </c>
      <c r="H33" s="92">
        <f t="shared" si="3"/>
        <v>3.914351851851852E-3</v>
      </c>
      <c r="I33" s="92">
        <f t="shared" si="4"/>
        <v>4.9560185185185193E-3</v>
      </c>
      <c r="J33" s="139">
        <f t="shared" si="5"/>
        <v>9.4907407407407701E-5</v>
      </c>
      <c r="K33" s="59">
        <f t="shared" si="6"/>
        <v>24.39</v>
      </c>
      <c r="L33" s="70"/>
      <c r="M33" s="92"/>
      <c r="N33" s="43">
        <f t="shared" si="7"/>
        <v>50</v>
      </c>
      <c r="O33" s="150"/>
      <c r="P33" s="43" t="e">
        <f t="shared" si="8"/>
        <v>#N/A</v>
      </c>
      <c r="R33" s="173"/>
      <c r="S33" s="43">
        <v>49</v>
      </c>
      <c r="T33" s="219" t="s">
        <v>119</v>
      </c>
      <c r="U33" s="93">
        <v>4.1817129629629635E-3</v>
      </c>
      <c r="V33" s="93">
        <f t="shared" si="9"/>
        <v>2.5989514996662298E-3</v>
      </c>
      <c r="W33" s="168"/>
      <c r="X33" s="73">
        <v>49</v>
      </c>
      <c r="Y33" s="220" t="s">
        <v>46</v>
      </c>
      <c r="Z33" s="169">
        <v>0.68100000000000005</v>
      </c>
      <c r="AA33" s="113">
        <v>25147</v>
      </c>
    </row>
    <row r="34" spans="1:27" ht="16.5" customHeight="1" x14ac:dyDescent="0.2">
      <c r="A34" s="43">
        <f t="shared" si="0"/>
        <v>33</v>
      </c>
      <c r="B34" s="43">
        <f t="shared" si="1"/>
        <v>38</v>
      </c>
      <c r="C34" s="219" t="s">
        <v>106</v>
      </c>
      <c r="D34" s="193">
        <v>4.2245370370370371E-3</v>
      </c>
      <c r="E34" s="92">
        <v>6.5277777777777773E-4</v>
      </c>
      <c r="F34" s="96">
        <f t="shared" si="2"/>
        <v>6.3657407407407413E-4</v>
      </c>
      <c r="G34" s="92">
        <v>4.9884259259259265E-3</v>
      </c>
      <c r="H34" s="92">
        <f t="shared" si="3"/>
        <v>4.3356481481481492E-3</v>
      </c>
      <c r="I34" s="92">
        <f t="shared" si="4"/>
        <v>4.9722222222222234E-3</v>
      </c>
      <c r="J34" s="139">
        <f t="shared" si="5"/>
        <v>1.1111111111111217E-4</v>
      </c>
      <c r="K34" s="59">
        <f t="shared" si="6"/>
        <v>21.95</v>
      </c>
      <c r="L34" s="70"/>
      <c r="M34" s="92"/>
      <c r="N34" s="43">
        <f t="shared" si="7"/>
        <v>37</v>
      </c>
      <c r="O34" s="150"/>
      <c r="P34" s="43" t="e">
        <f t="shared" si="8"/>
        <v>#N/A</v>
      </c>
      <c r="R34" s="173"/>
      <c r="S34" s="43">
        <v>50</v>
      </c>
      <c r="T34" s="219" t="s">
        <v>47</v>
      </c>
      <c r="U34" s="93">
        <v>4.223379629629629E-3</v>
      </c>
      <c r="V34" s="93">
        <f t="shared" si="9"/>
        <v>2.624847501323573E-3</v>
      </c>
      <c r="W34" s="168"/>
      <c r="X34" s="73">
        <v>50</v>
      </c>
      <c r="Y34" s="219" t="s">
        <v>124</v>
      </c>
      <c r="Z34" s="169">
        <v>0.67989999999999995</v>
      </c>
      <c r="AA34" s="113">
        <v>29762</v>
      </c>
    </row>
    <row r="35" spans="1:27" ht="16.5" customHeight="1" x14ac:dyDescent="0.2">
      <c r="A35" s="43">
        <f t="shared" si="0"/>
        <v>34</v>
      </c>
      <c r="B35" s="43">
        <f t="shared" si="1"/>
        <v>17</v>
      </c>
      <c r="C35" s="221" t="s">
        <v>327</v>
      </c>
      <c r="D35" s="193">
        <v>3.7962962962962963E-3</v>
      </c>
      <c r="E35" s="92">
        <v>2.8935185185185183E-5</v>
      </c>
      <c r="F35" s="96">
        <f t="shared" si="2"/>
        <v>1.0648148148148149E-3</v>
      </c>
      <c r="G35" s="92">
        <v>3.9467592592592592E-3</v>
      </c>
      <c r="H35" s="92">
        <f t="shared" si="3"/>
        <v>3.9178240740740744E-3</v>
      </c>
      <c r="I35" s="92">
        <f t="shared" si="4"/>
        <v>4.9826388888888889E-3</v>
      </c>
      <c r="J35" s="139">
        <f t="shared" si="5"/>
        <v>1.2152777777777813E-4</v>
      </c>
      <c r="K35" s="59">
        <f t="shared" si="6"/>
        <v>19.510000000000002</v>
      </c>
      <c r="L35" s="70"/>
      <c r="M35" s="92"/>
      <c r="N35" s="43">
        <f t="shared" si="7"/>
        <v>43</v>
      </c>
      <c r="O35" s="150"/>
      <c r="P35" s="43" t="e">
        <f t="shared" si="8"/>
        <v>#N/A</v>
      </c>
      <c r="R35" s="173"/>
      <c r="S35" s="43">
        <v>51</v>
      </c>
      <c r="T35" s="219" t="s">
        <v>132</v>
      </c>
      <c r="U35" s="93">
        <v>4.2418981481481483E-3</v>
      </c>
      <c r="V35" s="93">
        <f t="shared" si="9"/>
        <v>2.6363568353935042E-3</v>
      </c>
      <c r="W35" s="168"/>
      <c r="X35" s="73">
        <v>51</v>
      </c>
      <c r="Y35" s="220" t="s">
        <v>91</v>
      </c>
      <c r="Z35" s="169">
        <v>0.67569999999999997</v>
      </c>
      <c r="AA35" s="113">
        <v>27487</v>
      </c>
    </row>
    <row r="36" spans="1:27" ht="16.5" customHeight="1" x14ac:dyDescent="0.2">
      <c r="A36" s="43">
        <f t="shared" si="0"/>
        <v>35</v>
      </c>
      <c r="B36" s="43">
        <f t="shared" si="1"/>
        <v>34</v>
      </c>
      <c r="C36" s="219" t="s">
        <v>132</v>
      </c>
      <c r="D36" s="193">
        <v>4.108796296296297E-3</v>
      </c>
      <c r="E36" s="92">
        <v>7.6388888888888893E-4</v>
      </c>
      <c r="F36" s="96">
        <f t="shared" si="2"/>
        <v>7.5231481481481417E-4</v>
      </c>
      <c r="G36" s="92">
        <v>5.0057870370370369E-3</v>
      </c>
      <c r="H36" s="92">
        <f t="shared" si="3"/>
        <v>4.2418981481481483E-3</v>
      </c>
      <c r="I36" s="92">
        <f t="shared" si="4"/>
        <v>4.9942129629629625E-3</v>
      </c>
      <c r="J36" s="139">
        <f t="shared" si="5"/>
        <v>1.3310185185185126E-4</v>
      </c>
      <c r="K36" s="59">
        <f t="shared" si="6"/>
        <v>17.07</v>
      </c>
      <c r="L36" s="70"/>
      <c r="M36" s="92"/>
      <c r="N36" s="73">
        <f t="shared" si="7"/>
        <v>47</v>
      </c>
      <c r="O36" s="150"/>
      <c r="P36" s="43" t="e">
        <f t="shared" si="8"/>
        <v>#N/A</v>
      </c>
      <c r="R36" s="173"/>
      <c r="S36" s="43">
        <v>52</v>
      </c>
      <c r="T36" s="219" t="s">
        <v>67</v>
      </c>
      <c r="U36" s="93">
        <v>4.2650462962962963E-3</v>
      </c>
      <c r="V36" s="93">
        <f t="shared" si="9"/>
        <v>2.6507435029809174E-3</v>
      </c>
      <c r="W36" s="168"/>
      <c r="X36" s="73">
        <v>52</v>
      </c>
      <c r="Y36" s="219" t="s">
        <v>197</v>
      </c>
      <c r="Z36" s="169">
        <v>0.66990000000000005</v>
      </c>
      <c r="AA36" s="113">
        <v>26202</v>
      </c>
    </row>
    <row r="37" spans="1:27" ht="16.5" customHeight="1" x14ac:dyDescent="0.2">
      <c r="A37" s="43">
        <f t="shared" si="0"/>
        <v>36</v>
      </c>
      <c r="B37" s="43">
        <f t="shared" si="1"/>
        <v>37</v>
      </c>
      <c r="C37" s="219" t="s">
        <v>68</v>
      </c>
      <c r="D37" s="193">
        <v>4.1666666666666666E-3</v>
      </c>
      <c r="E37" s="92">
        <v>7.0833333333333338E-4</v>
      </c>
      <c r="F37" s="96">
        <f t="shared" si="2"/>
        <v>6.9444444444444458E-4</v>
      </c>
      <c r="G37" s="92">
        <v>5.0347222222222225E-3</v>
      </c>
      <c r="H37" s="92">
        <f t="shared" si="3"/>
        <v>4.3263888888888892E-3</v>
      </c>
      <c r="I37" s="92">
        <f t="shared" si="4"/>
        <v>5.0208333333333337E-3</v>
      </c>
      <c r="J37" s="139">
        <f t="shared" si="5"/>
        <v>1.5972222222222256E-4</v>
      </c>
      <c r="K37" s="59">
        <f t="shared" si="6"/>
        <v>14.63</v>
      </c>
      <c r="L37" s="70"/>
      <c r="M37" s="92"/>
      <c r="N37" s="43">
        <f t="shared" si="7"/>
        <v>52</v>
      </c>
      <c r="O37" s="150"/>
      <c r="P37" s="43" t="e">
        <f t="shared" si="8"/>
        <v>#N/A</v>
      </c>
      <c r="R37" s="173"/>
      <c r="S37" s="43">
        <v>53</v>
      </c>
      <c r="T37" s="220" t="s">
        <v>55</v>
      </c>
      <c r="U37" s="93">
        <v>4.2789351851851851E-3</v>
      </c>
      <c r="V37" s="93">
        <f t="shared" si="9"/>
        <v>2.6593755035333655E-3</v>
      </c>
      <c r="W37" s="168"/>
      <c r="X37" s="73">
        <v>53</v>
      </c>
      <c r="Y37" s="220" t="s">
        <v>80</v>
      </c>
      <c r="Z37" s="169">
        <v>0.66759999999999997</v>
      </c>
      <c r="AA37" s="113">
        <v>24264</v>
      </c>
    </row>
    <row r="38" spans="1:27" ht="16.5" customHeight="1" x14ac:dyDescent="0.2">
      <c r="A38" s="43">
        <f t="shared" si="0"/>
        <v>37</v>
      </c>
      <c r="B38" s="43">
        <f t="shared" si="1"/>
        <v>29</v>
      </c>
      <c r="C38" s="220" t="s">
        <v>175</v>
      </c>
      <c r="D38" s="193">
        <v>3.9120370370370368E-3</v>
      </c>
      <c r="E38" s="92">
        <v>1.0069444444444443E-4</v>
      </c>
      <c r="F38" s="96">
        <f t="shared" si="2"/>
        <v>9.490740740740744E-4</v>
      </c>
      <c r="G38" s="92">
        <v>4.1782407407407402E-3</v>
      </c>
      <c r="H38" s="92">
        <f t="shared" si="3"/>
        <v>4.0775462962962961E-3</v>
      </c>
      <c r="I38" s="92">
        <f t="shared" si="4"/>
        <v>5.0266203703703705E-3</v>
      </c>
      <c r="J38" s="139">
        <f t="shared" si="5"/>
        <v>1.6550925925925934E-4</v>
      </c>
      <c r="K38" s="59">
        <f t="shared" si="6"/>
        <v>12.2</v>
      </c>
      <c r="L38" s="70"/>
      <c r="M38" s="93"/>
      <c r="N38" s="43">
        <f t="shared" si="7"/>
        <v>56</v>
      </c>
      <c r="O38" s="150"/>
      <c r="P38" s="43" t="e">
        <f t="shared" si="8"/>
        <v>#N/A</v>
      </c>
      <c r="R38" s="173"/>
      <c r="S38" s="43">
        <v>54</v>
      </c>
      <c r="T38" s="219" t="s">
        <v>68</v>
      </c>
      <c r="U38" s="93">
        <v>4.3263888888888892E-3</v>
      </c>
      <c r="V38" s="93">
        <f t="shared" si="9"/>
        <v>2.688868172087563E-3</v>
      </c>
      <c r="W38" s="168"/>
      <c r="X38" s="73">
        <v>54</v>
      </c>
      <c r="Y38" s="219" t="s">
        <v>373</v>
      </c>
      <c r="Z38" s="169">
        <v>0.66300000000000003</v>
      </c>
      <c r="AA38" s="113">
        <v>22905</v>
      </c>
    </row>
    <row r="39" spans="1:27" ht="16.5" customHeight="1" x14ac:dyDescent="0.2">
      <c r="A39" s="43">
        <f t="shared" si="0"/>
        <v>38</v>
      </c>
      <c r="B39" s="43">
        <f t="shared" si="1"/>
        <v>31</v>
      </c>
      <c r="C39" s="220" t="s">
        <v>91</v>
      </c>
      <c r="D39" s="193">
        <v>3.9351851851851857E-3</v>
      </c>
      <c r="E39" s="92">
        <v>6.9444444444444444E-5</v>
      </c>
      <c r="F39" s="96">
        <f t="shared" si="2"/>
        <v>9.2592592592592553E-4</v>
      </c>
      <c r="G39" s="92">
        <v>4.2280092592592586E-3</v>
      </c>
      <c r="H39" s="92">
        <f t="shared" si="3"/>
        <v>4.1585648148148146E-3</v>
      </c>
      <c r="I39" s="92">
        <f t="shared" si="4"/>
        <v>5.0844907407407401E-3</v>
      </c>
      <c r="J39" s="139">
        <f t="shared" si="5"/>
        <v>2.2337962962962893E-4</v>
      </c>
      <c r="K39" s="59">
        <f t="shared" si="6"/>
        <v>9.76</v>
      </c>
      <c r="L39" s="70"/>
      <c r="M39" s="92"/>
      <c r="N39" s="73">
        <f t="shared" si="7"/>
        <v>44</v>
      </c>
      <c r="O39" s="150"/>
      <c r="P39" s="43" t="e">
        <f t="shared" si="8"/>
        <v>#N/A</v>
      </c>
      <c r="R39" s="173"/>
      <c r="S39" s="43">
        <v>55</v>
      </c>
      <c r="T39" s="219" t="s">
        <v>106</v>
      </c>
      <c r="U39" s="93">
        <v>4.3356481481481492E-3</v>
      </c>
      <c r="V39" s="93">
        <f t="shared" si="9"/>
        <v>2.6946228391225291E-3</v>
      </c>
      <c r="W39" s="168"/>
      <c r="X39" s="73">
        <v>55</v>
      </c>
      <c r="Y39" s="219" t="s">
        <v>67</v>
      </c>
      <c r="Z39" s="169">
        <v>0.65880000000000005</v>
      </c>
      <c r="AA39" s="113">
        <v>27190</v>
      </c>
    </row>
    <row r="40" spans="1:27" ht="16.5" customHeight="1" x14ac:dyDescent="0.2">
      <c r="A40" s="43">
        <f t="shared" si="0"/>
        <v>39</v>
      </c>
      <c r="B40" s="43">
        <f t="shared" si="1"/>
        <v>41</v>
      </c>
      <c r="C40" s="219" t="s">
        <v>142</v>
      </c>
      <c r="D40" s="193">
        <v>4.7453703703703703E-3</v>
      </c>
      <c r="E40" s="92">
        <v>1.2268518518518517E-4</v>
      </c>
      <c r="F40" s="96">
        <f t="shared" si="2"/>
        <v>1.1574074074074091E-4</v>
      </c>
      <c r="G40" s="92">
        <v>5.2013888888888891E-3</v>
      </c>
      <c r="H40" s="92">
        <f t="shared" si="3"/>
        <v>5.0787037037037042E-3</v>
      </c>
      <c r="I40" s="92">
        <f t="shared" si="4"/>
        <v>5.1944444444444451E-3</v>
      </c>
      <c r="J40" s="139">
        <f t="shared" si="5"/>
        <v>3.3333333333333392E-4</v>
      </c>
      <c r="K40" s="59">
        <f t="shared" si="6"/>
        <v>7.32</v>
      </c>
      <c r="L40" s="70"/>
      <c r="M40" s="92"/>
      <c r="N40" s="43">
        <f t="shared" si="7"/>
        <v>57</v>
      </c>
      <c r="O40" s="150"/>
      <c r="P40" s="43" t="e">
        <f t="shared" si="8"/>
        <v>#N/A</v>
      </c>
      <c r="R40" s="173"/>
      <c r="S40" s="43">
        <v>56</v>
      </c>
      <c r="T40" s="221" t="s">
        <v>70</v>
      </c>
      <c r="U40" s="93">
        <v>4.3483796296296291E-3</v>
      </c>
      <c r="V40" s="93">
        <f t="shared" si="9"/>
        <v>2.7025355062956055E-3</v>
      </c>
      <c r="W40" s="168"/>
      <c r="X40" s="73">
        <v>56</v>
      </c>
      <c r="Y40" s="219" t="s">
        <v>106</v>
      </c>
      <c r="Z40" s="169">
        <v>0.61499999999999999</v>
      </c>
      <c r="AA40" s="113">
        <v>22423</v>
      </c>
    </row>
    <row r="41" spans="1:27" ht="16.5" customHeight="1" x14ac:dyDescent="0.2">
      <c r="A41" s="43">
        <f t="shared" si="0"/>
        <v>40</v>
      </c>
      <c r="B41" s="43">
        <f t="shared" si="1"/>
        <v>36</v>
      </c>
      <c r="C41" s="220" t="s">
        <v>55</v>
      </c>
      <c r="D41" s="193">
        <v>3.8773148148148143E-3</v>
      </c>
      <c r="E41" s="92">
        <v>1.4351851851851852E-4</v>
      </c>
      <c r="F41" s="96">
        <f t="shared" si="2"/>
        <v>9.8379629629629685E-4</v>
      </c>
      <c r="G41" s="92">
        <v>4.4224537037037036E-3</v>
      </c>
      <c r="H41" s="92">
        <f t="shared" si="3"/>
        <v>4.2789351851851851E-3</v>
      </c>
      <c r="I41" s="92">
        <f t="shared" si="4"/>
        <v>5.2627314814814819E-3</v>
      </c>
      <c r="J41" s="139">
        <f t="shared" si="5"/>
        <v>4.0162037037037076E-4</v>
      </c>
      <c r="K41" s="59">
        <f t="shared" si="6"/>
        <v>4.88</v>
      </c>
      <c r="L41" s="70"/>
      <c r="M41" s="92"/>
      <c r="N41" s="43">
        <f t="shared" si="7"/>
        <v>49</v>
      </c>
      <c r="O41" s="150"/>
      <c r="P41" s="43" t="e">
        <f t="shared" si="8"/>
        <v>#N/A</v>
      </c>
      <c r="R41" s="173"/>
      <c r="S41" s="43">
        <v>57</v>
      </c>
      <c r="T41" s="219" t="s">
        <v>362</v>
      </c>
      <c r="U41" s="93">
        <v>4.5543981481481477E-3</v>
      </c>
      <c r="V41" s="93">
        <f t="shared" si="9"/>
        <v>2.8305768478235848E-3</v>
      </c>
      <c r="W41" s="168"/>
      <c r="X41" s="73">
        <v>57</v>
      </c>
      <c r="Y41" s="219" t="s">
        <v>142</v>
      </c>
      <c r="Z41" s="169">
        <v>0.61460000000000004</v>
      </c>
      <c r="AA41" s="113">
        <v>25581</v>
      </c>
    </row>
    <row r="42" spans="1:27" ht="16.5" customHeight="1" x14ac:dyDescent="0.2">
      <c r="A42" s="43">
        <f t="shared" si="0"/>
        <v>41</v>
      </c>
      <c r="B42" s="43">
        <f t="shared" si="1"/>
        <v>39</v>
      </c>
      <c r="C42" s="221" t="s">
        <v>70</v>
      </c>
      <c r="D42" s="193">
        <v>3.8194444444444443E-3</v>
      </c>
      <c r="E42" s="92">
        <v>1.1574074074074073E-5</v>
      </c>
      <c r="F42" s="96">
        <f t="shared" si="2"/>
        <v>1.0416666666666669E-3</v>
      </c>
      <c r="G42" s="92">
        <v>4.3599537037037036E-3</v>
      </c>
      <c r="H42" s="92">
        <f t="shared" si="3"/>
        <v>4.3483796296296291E-3</v>
      </c>
      <c r="I42" s="92">
        <f t="shared" si="4"/>
        <v>5.3900462962962956E-3</v>
      </c>
      <c r="J42" s="139">
        <f t="shared" si="5"/>
        <v>5.289351851851848E-4</v>
      </c>
      <c r="K42" s="59">
        <f t="shared" si="6"/>
        <v>2.44</v>
      </c>
      <c r="L42" s="70"/>
      <c r="M42" s="92"/>
      <c r="N42" s="43">
        <f t="shared" si="7"/>
        <v>54</v>
      </c>
      <c r="O42" s="150"/>
      <c r="P42" s="43" t="e">
        <f t="shared" si="8"/>
        <v>#N/A</v>
      </c>
      <c r="R42" s="173"/>
      <c r="S42" s="43">
        <v>58</v>
      </c>
      <c r="T42" s="219" t="s">
        <v>142</v>
      </c>
      <c r="U42" s="93">
        <v>5.0787037037037042E-3</v>
      </c>
      <c r="V42" s="93">
        <f t="shared" si="9"/>
        <v>3.1564348686784986E-3</v>
      </c>
      <c r="W42" s="168"/>
      <c r="X42" s="73">
        <v>58</v>
      </c>
      <c r="Y42" s="219" t="s">
        <v>362</v>
      </c>
      <c r="Z42" s="169">
        <v>0.58550000000000002</v>
      </c>
      <c r="AA42" s="113">
        <v>23627</v>
      </c>
    </row>
    <row r="43" spans="1:27" x14ac:dyDescent="0.2">
      <c r="S43" s="98"/>
      <c r="T43" s="98"/>
    </row>
    <row r="44" spans="1:27" ht="17.25" customHeight="1" x14ac:dyDescent="0.2">
      <c r="A44" s="43" t="s">
        <v>25</v>
      </c>
      <c r="B44" s="60">
        <v>41</v>
      </c>
      <c r="C44" s="140" t="s">
        <v>228</v>
      </c>
    </row>
    <row r="45" spans="1:27" ht="17.25" customHeight="1" x14ac:dyDescent="0.2">
      <c r="A45" s="94"/>
      <c r="B45" s="94"/>
      <c r="C45" s="141" t="s">
        <v>229</v>
      </c>
    </row>
    <row r="46" spans="1:27" ht="17.25" customHeight="1" x14ac:dyDescent="0.2">
      <c r="A46" s="94"/>
      <c r="B46" s="94"/>
      <c r="C46" s="142" t="s">
        <v>230</v>
      </c>
    </row>
    <row r="47" spans="1:27" ht="17.25" customHeight="1" x14ac:dyDescent="0.2"/>
    <row r="48" spans="1:27" ht="17.25" customHeight="1" x14ac:dyDescent="0.2">
      <c r="A48" s="43" t="s">
        <v>15</v>
      </c>
      <c r="B48" s="43">
        <v>1</v>
      </c>
      <c r="C48" s="42" t="s">
        <v>246</v>
      </c>
      <c r="K48" s="43">
        <f>ROUND(100-((100/$B$44)*(ROUNDUP($B$44*0.4,0)-1)),2)</f>
        <v>60.98</v>
      </c>
    </row>
    <row r="49" spans="2:11" ht="17.25" customHeight="1" x14ac:dyDescent="0.2">
      <c r="B49" s="43">
        <v>2</v>
      </c>
      <c r="C49" s="42" t="s">
        <v>395</v>
      </c>
      <c r="K49" s="43">
        <f>ROUND(100-((100/$B$44)*(ROUNDUP($B$44*0.4,0)-1)),2)</f>
        <v>60.98</v>
      </c>
    </row>
    <row r="50" spans="2:11" ht="17.25" customHeight="1" x14ac:dyDescent="0.2">
      <c r="B50" s="43">
        <v>3</v>
      </c>
      <c r="C50" s="42" t="s">
        <v>394</v>
      </c>
      <c r="K50" s="43">
        <f>ROUND(100-((100/$B$44)*(ROUNDUP($B$44*0.4,0)-1)),2)</f>
        <v>60.98</v>
      </c>
    </row>
    <row r="51" spans="2:11" ht="17.25" customHeight="1" x14ac:dyDescent="0.2">
      <c r="B51" s="43">
        <v>4</v>
      </c>
      <c r="C51" s="42" t="s">
        <v>397</v>
      </c>
      <c r="K51" s="43">
        <f>ROUND(100-((100/$B$44)*(ROUNDUP($B$44*0.4,0)-1)),2)</f>
        <v>60.98</v>
      </c>
    </row>
    <row r="53" spans="2:11" x14ac:dyDescent="0.2">
      <c r="J53" t="s">
        <v>28</v>
      </c>
      <c r="K53" s="43">
        <f>SUM(K2:K51)</f>
        <v>2346.3600000000006</v>
      </c>
    </row>
  </sheetData>
  <sheetProtection algorithmName="SHA-512" hashValue="O1plYe46rsOfrqYcmGrUYjdaQytSgfidD1pjx4z2Lg7EZD94+4YZUBz++992GcFmMhWPkMJzmIRyNc/aCg3kQg==" saltValue="hYmXcLJyNCOGxKbO4Ao5sQ==" spinCount="100000" sheet="1" objects="1" scenarios="1"/>
  <sortState xmlns:xlrd2="http://schemas.microsoft.com/office/spreadsheetml/2017/richdata2" ref="Y2:Z42">
    <sortCondition descending="1" ref="Z2:Z4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AN65"/>
  <sheetViews>
    <sheetView zoomScale="85" zoomScaleNormal="85" workbookViewId="0">
      <pane ySplit="1" topLeftCell="A14" activePane="bottomLeft" state="frozen"/>
      <selection pane="bottomLeft"/>
    </sheetView>
  </sheetViews>
  <sheetFormatPr defaultRowHeight="12.75" x14ac:dyDescent="0.2"/>
  <cols>
    <col min="1" max="1" width="12.5703125" customWidth="1"/>
    <col min="2" max="2" width="11.28515625" customWidth="1"/>
    <col min="3" max="3" width="23.7109375" customWidth="1"/>
    <col min="4" max="5" width="11.140625" customWidth="1"/>
    <col min="6" max="6" width="11.140625" hidden="1" customWidth="1"/>
    <col min="7" max="11" width="11.140625" customWidth="1"/>
    <col min="12" max="12" width="10.42578125" hidden="1" customWidth="1"/>
    <col min="13" max="13" width="7.140625" hidden="1" customWidth="1"/>
    <col min="14" max="14" width="8" hidden="1" customWidth="1"/>
    <col min="15" max="15" width="4.85546875" hidden="1" customWidth="1"/>
    <col min="16" max="16" width="12.85546875" hidden="1" customWidth="1"/>
    <col min="17" max="17" width="10.85546875" hidden="1" customWidth="1"/>
    <col min="18" max="18" width="4.85546875" hidden="1" customWidth="1"/>
    <col min="19" max="19" width="10.28515625" bestFit="1" customWidth="1"/>
    <col min="20" max="20" width="11" customWidth="1"/>
    <col min="21" max="21" width="5.7109375" hidden="1" customWidth="1"/>
    <col min="22" max="22" width="23.7109375" customWidth="1"/>
    <col min="23" max="24" width="11" customWidth="1"/>
    <col min="25" max="25" width="8.85546875" customWidth="1"/>
    <col min="26" max="26" width="11" customWidth="1"/>
    <col min="27" max="27" width="5.7109375" hidden="1" customWidth="1"/>
    <col min="28" max="28" width="23.7109375" customWidth="1"/>
    <col min="29" max="29" width="11" customWidth="1"/>
    <col min="30" max="30" width="10.28515625" hidden="1" customWidth="1"/>
    <col min="31" max="32" width="8.85546875" customWidth="1"/>
    <col min="36" max="36" width="18.7109375" bestFit="1" customWidth="1"/>
    <col min="37" max="37" width="12.7109375" bestFit="1" customWidth="1"/>
    <col min="38" max="38" width="12.7109375" customWidth="1"/>
    <col min="40" max="40" width="11.5703125" bestFit="1" customWidth="1"/>
  </cols>
  <sheetData>
    <row r="1" spans="1:40" ht="38.25" customHeight="1" x14ac:dyDescent="0.2">
      <c r="A1" s="165" t="s">
        <v>5</v>
      </c>
      <c r="B1" s="165" t="s">
        <v>6</v>
      </c>
      <c r="C1" s="166" t="s">
        <v>7</v>
      </c>
      <c r="D1" s="165" t="s">
        <v>16</v>
      </c>
      <c r="E1" s="165" t="s">
        <v>219</v>
      </c>
      <c r="F1" s="165" t="s">
        <v>272</v>
      </c>
      <c r="G1" s="165" t="s">
        <v>18</v>
      </c>
      <c r="H1" s="165" t="s">
        <v>19</v>
      </c>
      <c r="I1" s="165" t="s">
        <v>18</v>
      </c>
      <c r="J1" s="165" t="s">
        <v>14</v>
      </c>
      <c r="K1" s="165" t="s">
        <v>9</v>
      </c>
      <c r="L1" s="167" t="s">
        <v>276</v>
      </c>
      <c r="M1" s="132">
        <v>1.7013888888888887E-2</v>
      </c>
      <c r="N1" s="8" t="s">
        <v>19</v>
      </c>
      <c r="O1" s="108" t="s">
        <v>154</v>
      </c>
      <c r="P1" s="99" t="s">
        <v>152</v>
      </c>
      <c r="Q1" s="99" t="s">
        <v>153</v>
      </c>
      <c r="T1" s="159" t="s">
        <v>6</v>
      </c>
      <c r="U1" s="160" t="s">
        <v>154</v>
      </c>
      <c r="V1" s="161" t="s">
        <v>7</v>
      </c>
      <c r="W1" s="159" t="s">
        <v>19</v>
      </c>
      <c r="X1" s="159" t="s">
        <v>275</v>
      </c>
      <c r="Y1" s="151"/>
      <c r="Z1" s="162" t="s">
        <v>245</v>
      </c>
      <c r="AA1" s="163" t="s">
        <v>154</v>
      </c>
      <c r="AB1" s="164" t="s">
        <v>7</v>
      </c>
      <c r="AC1" s="163" t="s">
        <v>152</v>
      </c>
      <c r="AD1" s="158">
        <v>43585</v>
      </c>
    </row>
    <row r="2" spans="1:40" ht="16.5" customHeight="1" x14ac:dyDescent="0.2">
      <c r="A2" s="43">
        <f t="shared" ref="A2:A39" si="0">RANK(I2,$I$2:$I$39,1)</f>
        <v>1</v>
      </c>
      <c r="B2" s="43">
        <f t="shared" ref="B2:B39" si="1">RANK(H2,$H$2:$H$39,1)</f>
        <v>11</v>
      </c>
      <c r="C2" s="72" t="s">
        <v>420</v>
      </c>
      <c r="D2" s="190">
        <f t="shared" ref="D2:D39" si="2">$M$1-E2</f>
        <v>1.3194444444444443E-2</v>
      </c>
      <c r="E2" s="190">
        <v>3.8194444444444443E-3</v>
      </c>
      <c r="F2" s="95">
        <f t="shared" ref="F2:F39" si="3">$M$1-D2</f>
        <v>3.8194444444444448E-3</v>
      </c>
      <c r="G2" s="66">
        <v>1.6828703703703703E-2</v>
      </c>
      <c r="H2" s="95">
        <f t="shared" ref="H2:H39" si="4">IF(L2&gt;0,G2-L2,G2-E2)</f>
        <v>1.3009259259259259E-2</v>
      </c>
      <c r="I2" s="95">
        <f t="shared" ref="I2:I39" si="5">E2+H2</f>
        <v>1.6828703703703703E-2</v>
      </c>
      <c r="J2" s="95">
        <f t="shared" ref="J2:J39" si="6">IF(H2&gt;D2,H2-D2,D2-H2)</f>
        <v>1.8518518518518406E-4</v>
      </c>
      <c r="K2" s="59">
        <f t="shared" ref="K2:K39" si="7">ROUND(100-((100/$B$41)*(A2-1)),2)</f>
        <v>100</v>
      </c>
      <c r="L2" s="190"/>
      <c r="N2" s="92">
        <f t="shared" ref="N2:N39" si="8">H2</f>
        <v>1.3009259259259259E-2</v>
      </c>
      <c r="O2" s="43">
        <f t="shared" ref="O2:O39" si="9">DATEDIF(AD2,$AD$1,"y")</f>
        <v>43</v>
      </c>
      <c r="P2" s="121">
        <v>0.72860000000000003</v>
      </c>
      <c r="Q2" s="43">
        <f t="shared" ref="Q2:Q39" si="10">RANK(P2,$P$2:$P$39,0)</f>
        <v>16</v>
      </c>
      <c r="S2" s="177"/>
      <c r="T2" s="43">
        <v>1</v>
      </c>
      <c r="U2" s="43">
        <v>35</v>
      </c>
      <c r="V2" s="68" t="s">
        <v>431</v>
      </c>
      <c r="W2" s="92">
        <v>1.0995370370370371E-2</v>
      </c>
      <c r="X2" s="92">
        <f t="shared" ref="X2:X39" si="11">W2/5</f>
        <v>2.1990740740740742E-3</v>
      </c>
      <c r="Y2" s="152"/>
      <c r="Z2" s="43">
        <v>1</v>
      </c>
      <c r="AA2" s="43">
        <v>35</v>
      </c>
      <c r="AB2" s="72" t="s">
        <v>431</v>
      </c>
      <c r="AC2" s="121">
        <v>0.81410000000000005</v>
      </c>
      <c r="AD2" s="176">
        <v>27741</v>
      </c>
      <c r="AG2" s="173"/>
      <c r="AK2" s="109"/>
      <c r="AL2" s="70"/>
      <c r="AM2" s="109"/>
      <c r="AN2" s="175"/>
    </row>
    <row r="3" spans="1:40" ht="16.5" customHeight="1" x14ac:dyDescent="0.2">
      <c r="A3" s="43">
        <f t="shared" si="0"/>
        <v>2</v>
      </c>
      <c r="B3" s="43">
        <f t="shared" si="1"/>
        <v>7</v>
      </c>
      <c r="C3" s="72" t="s">
        <v>428</v>
      </c>
      <c r="D3" s="190">
        <f t="shared" si="2"/>
        <v>1.2499999999999997E-2</v>
      </c>
      <c r="E3" s="190">
        <v>4.5138888888888893E-3</v>
      </c>
      <c r="F3" s="95">
        <f t="shared" si="3"/>
        <v>4.5138888888888902E-3</v>
      </c>
      <c r="G3" s="66">
        <v>1.6979166666666667E-2</v>
      </c>
      <c r="H3" s="95">
        <f t="shared" si="4"/>
        <v>1.2465277777777777E-2</v>
      </c>
      <c r="I3" s="95">
        <f t="shared" si="5"/>
        <v>1.6979166666666667E-2</v>
      </c>
      <c r="J3" s="95">
        <f t="shared" si="6"/>
        <v>3.4722222222220711E-5</v>
      </c>
      <c r="K3" s="59">
        <f t="shared" si="7"/>
        <v>97.37</v>
      </c>
      <c r="L3" s="190"/>
      <c r="N3" s="92">
        <f t="shared" si="8"/>
        <v>1.2465277777777777E-2</v>
      </c>
      <c r="O3" s="43">
        <f t="shared" si="9"/>
        <v>42</v>
      </c>
      <c r="P3" s="121">
        <v>0.75460000000000005</v>
      </c>
      <c r="Q3" s="43">
        <f t="shared" si="10"/>
        <v>10</v>
      </c>
      <c r="S3" s="177"/>
      <c r="T3" s="43">
        <v>2</v>
      </c>
      <c r="U3" s="43">
        <v>35</v>
      </c>
      <c r="V3" s="68" t="s">
        <v>156</v>
      </c>
      <c r="W3" s="92">
        <v>1.1956018518518519E-2</v>
      </c>
      <c r="X3" s="92">
        <f t="shared" si="11"/>
        <v>2.3912037037037035E-3</v>
      </c>
      <c r="Y3" s="152"/>
      <c r="Z3" s="43">
        <v>2</v>
      </c>
      <c r="AA3" s="43">
        <v>47</v>
      </c>
      <c r="AB3" s="42" t="s">
        <v>430</v>
      </c>
      <c r="AC3" s="121">
        <v>0.79649999999999999</v>
      </c>
      <c r="AD3" s="176">
        <v>27917</v>
      </c>
      <c r="AG3" s="173"/>
      <c r="AK3" s="109"/>
      <c r="AL3" s="70"/>
      <c r="AM3" s="109"/>
      <c r="AN3" s="174"/>
    </row>
    <row r="4" spans="1:40" ht="16.5" customHeight="1" x14ac:dyDescent="0.2">
      <c r="A4" s="73">
        <f t="shared" si="0"/>
        <v>3</v>
      </c>
      <c r="B4" s="73">
        <f t="shared" si="1"/>
        <v>6</v>
      </c>
      <c r="C4" s="72" t="s">
        <v>376</v>
      </c>
      <c r="D4" s="190">
        <f t="shared" si="2"/>
        <v>1.2268518518518517E-2</v>
      </c>
      <c r="E4" s="190">
        <v>4.7453703703703703E-3</v>
      </c>
      <c r="F4" s="95">
        <f t="shared" si="3"/>
        <v>4.7453703703703703E-3</v>
      </c>
      <c r="G4" s="66">
        <v>1.7060185185185185E-2</v>
      </c>
      <c r="H4" s="95">
        <f t="shared" si="4"/>
        <v>1.2314814814814815E-2</v>
      </c>
      <c r="I4" s="95">
        <f t="shared" si="5"/>
        <v>1.7060185185185185E-2</v>
      </c>
      <c r="J4" s="95">
        <f t="shared" si="6"/>
        <v>4.6296296296297751E-5</v>
      </c>
      <c r="K4" s="77">
        <f t="shared" si="7"/>
        <v>94.74</v>
      </c>
      <c r="L4" s="191"/>
      <c r="N4" s="92">
        <f t="shared" si="8"/>
        <v>1.2314814814814815E-2</v>
      </c>
      <c r="O4" s="43">
        <f t="shared" si="9"/>
        <v>40</v>
      </c>
      <c r="P4" s="121">
        <v>0.75229999999999997</v>
      </c>
      <c r="Q4" s="43">
        <f t="shared" si="10"/>
        <v>11</v>
      </c>
      <c r="S4" s="177"/>
      <c r="T4" s="43">
        <v>3</v>
      </c>
      <c r="U4" s="43">
        <v>44</v>
      </c>
      <c r="V4" s="68" t="s">
        <v>429</v>
      </c>
      <c r="W4" s="92">
        <v>1.2118055555555556E-2</v>
      </c>
      <c r="X4" s="92">
        <f t="shared" si="11"/>
        <v>2.4236111111111112E-3</v>
      </c>
      <c r="Y4" s="152"/>
      <c r="Z4" s="43">
        <v>3</v>
      </c>
      <c r="AA4" s="43">
        <v>45</v>
      </c>
      <c r="AB4" s="42" t="s">
        <v>377</v>
      </c>
      <c r="AC4" s="121">
        <v>0.79310000000000003</v>
      </c>
      <c r="AD4" s="176">
        <v>28953</v>
      </c>
      <c r="AG4" s="173"/>
      <c r="AK4" s="109"/>
      <c r="AL4" s="70"/>
      <c r="AM4" s="109"/>
      <c r="AN4" s="174"/>
    </row>
    <row r="5" spans="1:40" ht="16.5" customHeight="1" x14ac:dyDescent="0.2">
      <c r="A5" s="43">
        <f t="shared" si="0"/>
        <v>4</v>
      </c>
      <c r="B5" s="43">
        <f t="shared" si="1"/>
        <v>9</v>
      </c>
      <c r="C5" s="72" t="s">
        <v>424</v>
      </c>
      <c r="D5" s="190">
        <f t="shared" si="2"/>
        <v>1.2847222222222222E-2</v>
      </c>
      <c r="E5" s="190">
        <v>4.1666666666666666E-3</v>
      </c>
      <c r="F5" s="95">
        <f t="shared" si="3"/>
        <v>4.1666666666666657E-3</v>
      </c>
      <c r="G5" s="66">
        <v>1.7071759259259259E-2</v>
      </c>
      <c r="H5" s="95">
        <f t="shared" si="4"/>
        <v>1.2905092592592593E-2</v>
      </c>
      <c r="I5" s="95">
        <f t="shared" si="5"/>
        <v>1.7071759259259259E-2</v>
      </c>
      <c r="J5" s="95">
        <f t="shared" si="6"/>
        <v>5.7870370370371321E-5</v>
      </c>
      <c r="K5" s="59">
        <f t="shared" si="7"/>
        <v>92.11</v>
      </c>
      <c r="L5" s="191"/>
      <c r="N5" s="92">
        <f t="shared" si="8"/>
        <v>1.2905092592592593E-2</v>
      </c>
      <c r="O5" s="43">
        <f t="shared" si="9"/>
        <v>50</v>
      </c>
      <c r="P5" s="121">
        <v>0.7762</v>
      </c>
      <c r="Q5" s="43">
        <f t="shared" si="10"/>
        <v>6</v>
      </c>
      <c r="S5" s="177"/>
      <c r="T5" s="43">
        <v>4</v>
      </c>
      <c r="U5" s="43">
        <v>45</v>
      </c>
      <c r="V5" s="68" t="s">
        <v>377</v>
      </c>
      <c r="W5" s="92">
        <v>1.2141203703703706E-2</v>
      </c>
      <c r="X5" s="92">
        <f t="shared" si="11"/>
        <v>2.4282407407407412E-3</v>
      </c>
      <c r="Y5" s="152"/>
      <c r="Z5" s="43">
        <v>4</v>
      </c>
      <c r="AA5" s="43">
        <v>49</v>
      </c>
      <c r="AB5" s="42" t="s">
        <v>375</v>
      </c>
      <c r="AC5" s="121">
        <v>0.78910000000000002</v>
      </c>
      <c r="AD5" s="176">
        <v>25147</v>
      </c>
      <c r="AG5" s="173"/>
      <c r="AK5" s="109"/>
      <c r="AL5" s="70"/>
      <c r="AM5" s="109"/>
      <c r="AN5" s="174"/>
    </row>
    <row r="6" spans="1:40" ht="16.5" customHeight="1" x14ac:dyDescent="0.2">
      <c r="A6" s="43">
        <f t="shared" si="0"/>
        <v>4</v>
      </c>
      <c r="B6" s="43">
        <f t="shared" si="1"/>
        <v>1</v>
      </c>
      <c r="C6" s="72" t="s">
        <v>431</v>
      </c>
      <c r="D6" s="190">
        <f t="shared" si="2"/>
        <v>1.0937499999999999E-2</v>
      </c>
      <c r="E6" s="190">
        <v>6.076388888888889E-3</v>
      </c>
      <c r="F6" s="95">
        <f t="shared" si="3"/>
        <v>6.0763888888888881E-3</v>
      </c>
      <c r="G6" s="66">
        <v>1.7071759259259259E-2</v>
      </c>
      <c r="H6" s="95">
        <f t="shared" si="4"/>
        <v>1.0995370370370371E-2</v>
      </c>
      <c r="I6" s="95">
        <f t="shared" si="5"/>
        <v>1.7071759259259259E-2</v>
      </c>
      <c r="J6" s="95">
        <f t="shared" si="6"/>
        <v>5.7870370370371321E-5</v>
      </c>
      <c r="K6" s="59">
        <f t="shared" si="7"/>
        <v>92.11</v>
      </c>
      <c r="L6" s="190"/>
      <c r="N6" s="92">
        <f t="shared" si="8"/>
        <v>1.0995370370370371E-2</v>
      </c>
      <c r="O6" s="43">
        <f t="shared" si="9"/>
        <v>35</v>
      </c>
      <c r="P6" s="121">
        <v>0.81410000000000005</v>
      </c>
      <c r="Q6" s="43">
        <f t="shared" si="10"/>
        <v>1</v>
      </c>
      <c r="S6" s="177"/>
      <c r="T6" s="43">
        <v>5</v>
      </c>
      <c r="U6" s="43">
        <v>47</v>
      </c>
      <c r="V6" s="68" t="s">
        <v>430</v>
      </c>
      <c r="W6" s="92">
        <v>1.2280092592592592E-2</v>
      </c>
      <c r="X6" s="92">
        <f t="shared" si="11"/>
        <v>2.4560185185185184E-3</v>
      </c>
      <c r="Y6" s="152"/>
      <c r="Z6" s="43">
        <v>5</v>
      </c>
      <c r="AA6" s="43">
        <v>44</v>
      </c>
      <c r="AB6" s="42" t="s">
        <v>429</v>
      </c>
      <c r="AC6" s="121">
        <v>0.78849999999999998</v>
      </c>
      <c r="AD6" s="176">
        <v>30591</v>
      </c>
      <c r="AG6" s="173"/>
      <c r="AK6" s="109"/>
      <c r="AL6" s="70"/>
      <c r="AM6" s="109"/>
      <c r="AN6" s="174"/>
    </row>
    <row r="7" spans="1:40" ht="16.5" customHeight="1" x14ac:dyDescent="0.2">
      <c r="A7" s="73">
        <f t="shared" si="0"/>
        <v>6</v>
      </c>
      <c r="B7" s="73">
        <f t="shared" si="1"/>
        <v>10</v>
      </c>
      <c r="C7" s="72" t="s">
        <v>381</v>
      </c>
      <c r="D7" s="190">
        <f t="shared" si="2"/>
        <v>1.2847222222222222E-2</v>
      </c>
      <c r="E7" s="190">
        <v>4.1666666666666666E-3</v>
      </c>
      <c r="F7" s="95">
        <f t="shared" si="3"/>
        <v>4.1666666666666657E-3</v>
      </c>
      <c r="G7" s="66">
        <v>1.7164351851851851E-2</v>
      </c>
      <c r="H7" s="95">
        <f t="shared" si="4"/>
        <v>1.2997685185185185E-2</v>
      </c>
      <c r="I7" s="95">
        <f t="shared" si="5"/>
        <v>1.7164351851851851E-2</v>
      </c>
      <c r="J7" s="95">
        <f t="shared" si="6"/>
        <v>1.5046296296296335E-4</v>
      </c>
      <c r="K7" s="77">
        <f t="shared" si="7"/>
        <v>86.84</v>
      </c>
      <c r="L7" s="191"/>
      <c r="N7" s="92">
        <f t="shared" si="8"/>
        <v>1.2997685185185185E-2</v>
      </c>
      <c r="O7" s="43">
        <f t="shared" si="9"/>
        <v>48</v>
      </c>
      <c r="P7" s="121">
        <v>0.75839999999999996</v>
      </c>
      <c r="Q7" s="43">
        <f t="shared" si="10"/>
        <v>9</v>
      </c>
      <c r="S7" s="177"/>
      <c r="T7" s="43">
        <v>6</v>
      </c>
      <c r="U7" s="43">
        <v>40</v>
      </c>
      <c r="V7" s="68" t="s">
        <v>376</v>
      </c>
      <c r="W7" s="92">
        <v>1.2314814814814815E-2</v>
      </c>
      <c r="X7" s="92">
        <f t="shared" si="11"/>
        <v>2.4629629629629628E-3</v>
      </c>
      <c r="Y7" s="152"/>
      <c r="Z7" s="43">
        <v>6</v>
      </c>
      <c r="AA7" s="43">
        <v>50</v>
      </c>
      <c r="AB7" s="42" t="s">
        <v>424</v>
      </c>
      <c r="AC7" s="150">
        <v>0.7762</v>
      </c>
      <c r="AD7" s="176">
        <v>25937</v>
      </c>
      <c r="AG7" s="173"/>
      <c r="AK7" s="109"/>
      <c r="AL7" s="70"/>
      <c r="AM7" s="109"/>
      <c r="AN7" s="174"/>
    </row>
    <row r="8" spans="1:40" ht="16.5" customHeight="1" x14ac:dyDescent="0.2">
      <c r="A8" s="43">
        <f t="shared" si="0"/>
        <v>7</v>
      </c>
      <c r="B8" s="43">
        <f t="shared" si="1"/>
        <v>18</v>
      </c>
      <c r="C8" s="72" t="s">
        <v>418</v>
      </c>
      <c r="D8" s="190">
        <f t="shared" si="2"/>
        <v>1.3483796296296296E-2</v>
      </c>
      <c r="E8" s="190">
        <v>3.530092592592592E-3</v>
      </c>
      <c r="F8" s="95">
        <f t="shared" si="3"/>
        <v>3.5300925925925916E-3</v>
      </c>
      <c r="G8" s="66">
        <v>1.7245370370370369E-2</v>
      </c>
      <c r="H8" s="95">
        <f t="shared" si="4"/>
        <v>1.3715277777777778E-2</v>
      </c>
      <c r="I8" s="95">
        <f t="shared" si="5"/>
        <v>1.7245370370370369E-2</v>
      </c>
      <c r="J8" s="95">
        <f t="shared" si="6"/>
        <v>2.3148148148148182E-4</v>
      </c>
      <c r="K8" s="59">
        <f t="shared" si="7"/>
        <v>84.21</v>
      </c>
      <c r="L8" s="190"/>
      <c r="N8" s="92">
        <f t="shared" si="8"/>
        <v>1.3715277777777778E-2</v>
      </c>
      <c r="O8" s="43">
        <f t="shared" si="9"/>
        <v>42</v>
      </c>
      <c r="P8" s="121">
        <v>0.68620000000000003</v>
      </c>
      <c r="Q8" s="43">
        <f t="shared" si="10"/>
        <v>23</v>
      </c>
      <c r="S8" s="177"/>
      <c r="T8" s="43">
        <v>7</v>
      </c>
      <c r="U8" s="43">
        <v>42</v>
      </c>
      <c r="V8" s="68" t="s">
        <v>428</v>
      </c>
      <c r="W8" s="92">
        <v>1.2465277777777777E-2</v>
      </c>
      <c r="X8" s="92">
        <f t="shared" si="11"/>
        <v>2.4930555555555552E-3</v>
      </c>
      <c r="Y8" s="152"/>
      <c r="Z8" s="43">
        <v>7</v>
      </c>
      <c r="AA8" s="43">
        <v>47</v>
      </c>
      <c r="AB8" s="42" t="s">
        <v>250</v>
      </c>
      <c r="AC8" s="121">
        <v>0.76770000000000005</v>
      </c>
      <c r="AD8" s="176">
        <v>28215</v>
      </c>
      <c r="AG8" s="173"/>
      <c r="AK8" s="109"/>
      <c r="AL8" s="70"/>
      <c r="AM8" s="109"/>
      <c r="AN8" s="174"/>
    </row>
    <row r="9" spans="1:40" ht="16.5" customHeight="1" x14ac:dyDescent="0.2">
      <c r="A9" s="43">
        <f t="shared" si="0"/>
        <v>8</v>
      </c>
      <c r="B9" s="43">
        <f t="shared" si="1"/>
        <v>2</v>
      </c>
      <c r="C9" s="72" t="s">
        <v>156</v>
      </c>
      <c r="D9" s="190">
        <f t="shared" si="2"/>
        <v>1.1689814814814813E-2</v>
      </c>
      <c r="E9" s="190">
        <v>5.3240740740740748E-3</v>
      </c>
      <c r="F9" s="95">
        <f t="shared" si="3"/>
        <v>5.3240740740740748E-3</v>
      </c>
      <c r="G9" s="66">
        <v>1.7280092592592593E-2</v>
      </c>
      <c r="H9" s="95">
        <f t="shared" si="4"/>
        <v>1.1956018518518519E-2</v>
      </c>
      <c r="I9" s="95">
        <f t="shared" si="5"/>
        <v>1.7280092592592593E-2</v>
      </c>
      <c r="J9" s="95">
        <f t="shared" si="6"/>
        <v>2.66203703703706E-4</v>
      </c>
      <c r="K9" s="59">
        <f t="shared" si="7"/>
        <v>81.58</v>
      </c>
      <c r="L9" s="190"/>
      <c r="N9" s="92">
        <f t="shared" si="8"/>
        <v>1.1956018518518519E-2</v>
      </c>
      <c r="O9" s="43">
        <f t="shared" si="9"/>
        <v>35</v>
      </c>
      <c r="P9" s="121">
        <v>0.74870000000000003</v>
      </c>
      <c r="Q9" s="43">
        <f t="shared" si="10"/>
        <v>12</v>
      </c>
      <c r="S9" s="177"/>
      <c r="T9" s="43">
        <v>8</v>
      </c>
      <c r="U9" s="43">
        <v>49</v>
      </c>
      <c r="V9" s="68" t="s">
        <v>375</v>
      </c>
      <c r="W9" s="92">
        <v>1.2592592592592591E-2</v>
      </c>
      <c r="X9" s="92">
        <f t="shared" si="11"/>
        <v>2.518518518518518E-3</v>
      </c>
      <c r="Y9" s="152"/>
      <c r="Z9" s="43">
        <v>8</v>
      </c>
      <c r="AA9" s="43">
        <v>56</v>
      </c>
      <c r="AB9" s="42" t="s">
        <v>247</v>
      </c>
      <c r="AC9" s="121">
        <v>0.76100000000000001</v>
      </c>
      <c r="AD9" s="176">
        <v>30631</v>
      </c>
      <c r="AG9" s="173"/>
      <c r="AK9" s="109"/>
      <c r="AL9" s="70"/>
      <c r="AM9" s="109"/>
      <c r="AN9" s="174"/>
    </row>
    <row r="10" spans="1:40" ht="16.5" customHeight="1" x14ac:dyDescent="0.2">
      <c r="A10" s="43">
        <f t="shared" si="0"/>
        <v>9</v>
      </c>
      <c r="B10" s="43">
        <f t="shared" si="1"/>
        <v>11</v>
      </c>
      <c r="C10" s="72" t="s">
        <v>426</v>
      </c>
      <c r="D10" s="190">
        <f t="shared" si="2"/>
        <v>1.2731481481481479E-2</v>
      </c>
      <c r="E10" s="190">
        <v>4.2824074074074075E-3</v>
      </c>
      <c r="F10" s="95">
        <f t="shared" si="3"/>
        <v>4.2824074074074084E-3</v>
      </c>
      <c r="G10" s="66">
        <v>1.7291666666666667E-2</v>
      </c>
      <c r="H10" s="95">
        <f t="shared" si="4"/>
        <v>1.3009259259259259E-2</v>
      </c>
      <c r="I10" s="95">
        <f t="shared" si="5"/>
        <v>1.7291666666666667E-2</v>
      </c>
      <c r="J10" s="95">
        <f t="shared" si="6"/>
        <v>2.7777777777777957E-4</v>
      </c>
      <c r="K10" s="59">
        <f t="shared" si="7"/>
        <v>78.95</v>
      </c>
      <c r="L10" s="190"/>
      <c r="N10" s="92">
        <f t="shared" si="8"/>
        <v>1.3009259259259259E-2</v>
      </c>
      <c r="O10" s="43">
        <f t="shared" si="9"/>
        <v>43</v>
      </c>
      <c r="P10" s="121">
        <v>0.72889999999999999</v>
      </c>
      <c r="Q10" s="43">
        <f t="shared" si="10"/>
        <v>15</v>
      </c>
      <c r="S10" s="177"/>
      <c r="T10" s="43">
        <v>9</v>
      </c>
      <c r="U10" s="43">
        <v>50</v>
      </c>
      <c r="V10" s="68" t="s">
        <v>424</v>
      </c>
      <c r="W10" s="92">
        <v>1.2905092592592593E-2</v>
      </c>
      <c r="X10" s="92">
        <f t="shared" si="11"/>
        <v>2.5810185185185185E-3</v>
      </c>
      <c r="Y10" s="152"/>
      <c r="Z10" s="43">
        <v>9</v>
      </c>
      <c r="AA10" s="43">
        <v>48</v>
      </c>
      <c r="AB10" s="42" t="s">
        <v>381</v>
      </c>
      <c r="AC10" s="121">
        <v>0.75839999999999996</v>
      </c>
      <c r="AD10" s="176">
        <v>27521</v>
      </c>
      <c r="AG10" s="173"/>
      <c r="AK10" s="109"/>
      <c r="AL10" s="70"/>
      <c r="AM10" s="109"/>
      <c r="AN10" s="174"/>
    </row>
    <row r="11" spans="1:40" ht="16.5" customHeight="1" x14ac:dyDescent="0.2">
      <c r="A11" s="43">
        <f t="shared" si="0"/>
        <v>10</v>
      </c>
      <c r="B11" s="43">
        <f t="shared" si="1"/>
        <v>3</v>
      </c>
      <c r="C11" s="72" t="s">
        <v>429</v>
      </c>
      <c r="D11" s="190">
        <f t="shared" si="2"/>
        <v>1.1805555555555555E-2</v>
      </c>
      <c r="E11" s="190">
        <v>5.208333333333333E-3</v>
      </c>
      <c r="F11" s="95">
        <f t="shared" si="3"/>
        <v>5.2083333333333322E-3</v>
      </c>
      <c r="G11" s="66">
        <v>1.7326388888888888E-2</v>
      </c>
      <c r="H11" s="95">
        <f t="shared" si="4"/>
        <v>1.2118055555555556E-2</v>
      </c>
      <c r="I11" s="95">
        <f t="shared" si="5"/>
        <v>1.7326388888888888E-2</v>
      </c>
      <c r="J11" s="95">
        <f t="shared" si="6"/>
        <v>3.1250000000000028E-4</v>
      </c>
      <c r="K11" s="59">
        <f t="shared" si="7"/>
        <v>76.319999999999993</v>
      </c>
      <c r="L11" s="190"/>
      <c r="N11" s="92">
        <f t="shared" si="8"/>
        <v>1.2118055555555556E-2</v>
      </c>
      <c r="O11" s="43">
        <f t="shared" si="9"/>
        <v>44</v>
      </c>
      <c r="P11" s="121">
        <v>0.78849999999999998</v>
      </c>
      <c r="Q11" s="43">
        <f t="shared" si="10"/>
        <v>5</v>
      </c>
      <c r="S11" s="177"/>
      <c r="T11" s="43">
        <v>10</v>
      </c>
      <c r="U11" s="43">
        <v>48</v>
      </c>
      <c r="V11" s="68" t="s">
        <v>381</v>
      </c>
      <c r="W11" s="92">
        <v>1.2997685185185185E-2</v>
      </c>
      <c r="X11" s="92">
        <f t="shared" si="11"/>
        <v>2.5995370370370369E-3</v>
      </c>
      <c r="Y11" s="152"/>
      <c r="Z11" s="43">
        <v>10</v>
      </c>
      <c r="AA11" s="43">
        <v>42</v>
      </c>
      <c r="AB11" s="42" t="s">
        <v>428</v>
      </c>
      <c r="AC11" s="121">
        <v>0.75460000000000005</v>
      </c>
      <c r="AD11" s="176">
        <v>27296</v>
      </c>
      <c r="AG11" s="173"/>
      <c r="AK11" s="109"/>
      <c r="AL11" s="70"/>
      <c r="AM11" s="109"/>
      <c r="AN11" s="174"/>
    </row>
    <row r="12" spans="1:40" ht="16.5" customHeight="1" x14ac:dyDescent="0.2">
      <c r="A12" s="43">
        <f t="shared" si="0"/>
        <v>11</v>
      </c>
      <c r="B12" s="43">
        <f t="shared" si="1"/>
        <v>8</v>
      </c>
      <c r="C12" s="72" t="s">
        <v>375</v>
      </c>
      <c r="D12" s="190">
        <f t="shared" si="2"/>
        <v>1.2268518518518517E-2</v>
      </c>
      <c r="E12" s="190">
        <v>4.7453703703703703E-3</v>
      </c>
      <c r="F12" s="95">
        <f t="shared" si="3"/>
        <v>4.7453703703703703E-3</v>
      </c>
      <c r="G12" s="66">
        <v>1.7337962962962961E-2</v>
      </c>
      <c r="H12" s="95">
        <f t="shared" si="4"/>
        <v>1.2592592592592591E-2</v>
      </c>
      <c r="I12" s="95">
        <f t="shared" si="5"/>
        <v>1.7337962962962961E-2</v>
      </c>
      <c r="J12" s="95">
        <f t="shared" si="6"/>
        <v>3.2407407407407385E-4</v>
      </c>
      <c r="K12" s="59">
        <f t="shared" si="7"/>
        <v>73.680000000000007</v>
      </c>
      <c r="L12" s="190"/>
      <c r="N12" s="92">
        <f t="shared" si="8"/>
        <v>1.2592592592592591E-2</v>
      </c>
      <c r="O12" s="43">
        <f t="shared" si="9"/>
        <v>49</v>
      </c>
      <c r="P12" s="121">
        <v>0.78910000000000002</v>
      </c>
      <c r="Q12" s="43">
        <f t="shared" si="10"/>
        <v>4</v>
      </c>
      <c r="S12" s="177"/>
      <c r="T12" s="43">
        <v>11</v>
      </c>
      <c r="U12" s="43">
        <v>43</v>
      </c>
      <c r="V12" s="68" t="s">
        <v>420</v>
      </c>
      <c r="W12" s="92">
        <v>1.3009259259259259E-2</v>
      </c>
      <c r="X12" s="92">
        <f t="shared" si="11"/>
        <v>2.6018518518518517E-3</v>
      </c>
      <c r="Y12" s="152"/>
      <c r="Z12" s="43">
        <v>11</v>
      </c>
      <c r="AA12" s="43">
        <v>40</v>
      </c>
      <c r="AB12" s="42" t="s">
        <v>376</v>
      </c>
      <c r="AC12" s="121">
        <v>0.75229999999999997</v>
      </c>
      <c r="AD12" s="176">
        <v>25675</v>
      </c>
      <c r="AG12" s="173"/>
      <c r="AK12" s="109"/>
      <c r="AL12" s="70"/>
      <c r="AM12" s="109"/>
      <c r="AN12" s="174"/>
    </row>
    <row r="13" spans="1:40" ht="16.5" customHeight="1" x14ac:dyDescent="0.2">
      <c r="A13" s="43">
        <f t="shared" si="0"/>
        <v>12</v>
      </c>
      <c r="B13" s="43">
        <f t="shared" si="1"/>
        <v>4</v>
      </c>
      <c r="C13" s="72" t="s">
        <v>377</v>
      </c>
      <c r="D13" s="190">
        <f t="shared" si="2"/>
        <v>1.1805555555555555E-2</v>
      </c>
      <c r="E13" s="190">
        <v>5.208333333333333E-3</v>
      </c>
      <c r="F13" s="95">
        <f t="shared" si="3"/>
        <v>5.2083333333333322E-3</v>
      </c>
      <c r="G13" s="66">
        <v>1.7349537037037038E-2</v>
      </c>
      <c r="H13" s="95">
        <f t="shared" si="4"/>
        <v>1.2141203703703706E-2</v>
      </c>
      <c r="I13" s="95">
        <f t="shared" si="5"/>
        <v>1.7349537037037038E-2</v>
      </c>
      <c r="J13" s="95">
        <f t="shared" si="6"/>
        <v>3.3564814814815089E-4</v>
      </c>
      <c r="K13" s="59">
        <f t="shared" si="7"/>
        <v>71.05</v>
      </c>
      <c r="L13" s="190"/>
      <c r="N13" s="92">
        <f t="shared" si="8"/>
        <v>1.2141203703703706E-2</v>
      </c>
      <c r="O13" s="43">
        <f t="shared" si="9"/>
        <v>45</v>
      </c>
      <c r="P13" s="121">
        <v>0.79310000000000003</v>
      </c>
      <c r="Q13" s="43">
        <f t="shared" si="10"/>
        <v>3</v>
      </c>
      <c r="S13" s="177"/>
      <c r="T13" s="43">
        <v>11</v>
      </c>
      <c r="U13" s="43">
        <v>43</v>
      </c>
      <c r="V13" s="68" t="s">
        <v>426</v>
      </c>
      <c r="W13" s="92">
        <v>1.3009259259259259E-2</v>
      </c>
      <c r="X13" s="92">
        <f t="shared" si="11"/>
        <v>2.6018518518518517E-3</v>
      </c>
      <c r="Y13" s="152"/>
      <c r="Z13" s="43">
        <v>12</v>
      </c>
      <c r="AA13" s="43">
        <v>35</v>
      </c>
      <c r="AB13" s="42" t="s">
        <v>156</v>
      </c>
      <c r="AC13" s="121">
        <v>0.74870000000000003</v>
      </c>
      <c r="AD13" s="176">
        <v>27080</v>
      </c>
      <c r="AG13" s="173"/>
      <c r="AK13" s="109"/>
      <c r="AL13" s="70"/>
      <c r="AM13" s="109"/>
      <c r="AN13" s="174"/>
    </row>
    <row r="14" spans="1:40" ht="16.5" customHeight="1" x14ac:dyDescent="0.2">
      <c r="A14" s="43">
        <f t="shared" si="0"/>
        <v>13</v>
      </c>
      <c r="B14" s="43">
        <f t="shared" si="1"/>
        <v>20</v>
      </c>
      <c r="C14" s="72" t="s">
        <v>247</v>
      </c>
      <c r="D14" s="190">
        <f t="shared" si="2"/>
        <v>1.3483796296296296E-2</v>
      </c>
      <c r="E14" s="190">
        <v>3.530092592592592E-3</v>
      </c>
      <c r="F14" s="95">
        <f t="shared" si="3"/>
        <v>3.5300925925925916E-3</v>
      </c>
      <c r="G14" s="66">
        <v>1.7361111111111112E-2</v>
      </c>
      <c r="H14" s="95">
        <f t="shared" si="4"/>
        <v>1.383101851851852E-2</v>
      </c>
      <c r="I14" s="95">
        <f t="shared" si="5"/>
        <v>1.7361111111111112E-2</v>
      </c>
      <c r="J14" s="95">
        <f t="shared" si="6"/>
        <v>3.4722222222222446E-4</v>
      </c>
      <c r="K14" s="59">
        <f t="shared" si="7"/>
        <v>68.42</v>
      </c>
      <c r="L14" s="190"/>
      <c r="N14" s="92">
        <f t="shared" si="8"/>
        <v>1.383101851851852E-2</v>
      </c>
      <c r="O14" s="43">
        <f t="shared" si="9"/>
        <v>56</v>
      </c>
      <c r="P14" s="121">
        <v>0.76100000000000001</v>
      </c>
      <c r="Q14" s="43">
        <f t="shared" si="10"/>
        <v>8</v>
      </c>
      <c r="S14" s="177"/>
      <c r="T14" s="43">
        <v>13</v>
      </c>
      <c r="U14" s="43">
        <v>45</v>
      </c>
      <c r="V14" s="68" t="s">
        <v>427</v>
      </c>
      <c r="W14" s="92">
        <v>1.3171296296296296E-2</v>
      </c>
      <c r="X14" s="92">
        <f t="shared" si="11"/>
        <v>2.6342592592592589E-3</v>
      </c>
      <c r="Y14" s="152"/>
      <c r="Z14" s="43">
        <v>13</v>
      </c>
      <c r="AA14" s="43">
        <v>45</v>
      </c>
      <c r="AB14" s="72" t="s">
        <v>427</v>
      </c>
      <c r="AC14" s="121">
        <v>0.73109999999999997</v>
      </c>
      <c r="AD14" s="176">
        <v>22905</v>
      </c>
      <c r="AG14" s="173"/>
      <c r="AK14" s="109"/>
      <c r="AL14" s="70"/>
      <c r="AM14" s="109"/>
      <c r="AN14" s="174"/>
    </row>
    <row r="15" spans="1:40" ht="16.5" customHeight="1" x14ac:dyDescent="0.2">
      <c r="A15" s="43">
        <f t="shared" si="0"/>
        <v>13</v>
      </c>
      <c r="B15" s="43">
        <f t="shared" si="1"/>
        <v>14</v>
      </c>
      <c r="C15" s="72" t="s">
        <v>421</v>
      </c>
      <c r="D15" s="190">
        <f t="shared" si="2"/>
        <v>1.3078703703703702E-2</v>
      </c>
      <c r="E15" s="190">
        <v>3.9351851851851857E-3</v>
      </c>
      <c r="F15" s="95">
        <f t="shared" si="3"/>
        <v>3.9351851851851857E-3</v>
      </c>
      <c r="G15" s="66">
        <v>1.7361111111111112E-2</v>
      </c>
      <c r="H15" s="95">
        <f t="shared" si="4"/>
        <v>1.3425925925925926E-2</v>
      </c>
      <c r="I15" s="95">
        <f t="shared" si="5"/>
        <v>1.7361111111111112E-2</v>
      </c>
      <c r="J15" s="95">
        <f t="shared" si="6"/>
        <v>3.4722222222222446E-4</v>
      </c>
      <c r="K15" s="59">
        <f t="shared" si="7"/>
        <v>68.42</v>
      </c>
      <c r="L15" s="190"/>
      <c r="N15" s="92">
        <f t="shared" si="8"/>
        <v>1.3425925925925926E-2</v>
      </c>
      <c r="O15" s="43">
        <f t="shared" si="9"/>
        <v>34</v>
      </c>
      <c r="P15" s="121">
        <v>0.66320000000000001</v>
      </c>
      <c r="Q15" s="43">
        <f t="shared" si="10"/>
        <v>26</v>
      </c>
      <c r="S15" s="177"/>
      <c r="T15" s="43">
        <v>14</v>
      </c>
      <c r="U15" s="43">
        <v>34</v>
      </c>
      <c r="V15" s="68" t="s">
        <v>421</v>
      </c>
      <c r="W15" s="92">
        <v>1.3425925925925926E-2</v>
      </c>
      <c r="X15" s="92">
        <f t="shared" si="11"/>
        <v>2.6851851851851854E-3</v>
      </c>
      <c r="Y15" s="152"/>
      <c r="Z15" s="43">
        <v>14</v>
      </c>
      <c r="AA15" s="43">
        <v>49</v>
      </c>
      <c r="AB15" s="42" t="s">
        <v>149</v>
      </c>
      <c r="AC15" s="121">
        <v>0.73070000000000002</v>
      </c>
      <c r="AD15" s="176">
        <v>30976</v>
      </c>
      <c r="AG15" s="173"/>
      <c r="AI15" s="13"/>
      <c r="AK15" s="109"/>
      <c r="AL15" s="70"/>
      <c r="AM15" s="109"/>
      <c r="AN15" s="174"/>
    </row>
    <row r="16" spans="1:40" ht="16.5" customHeight="1" x14ac:dyDescent="0.2">
      <c r="A16" s="43">
        <f t="shared" si="0"/>
        <v>15</v>
      </c>
      <c r="B16" s="43">
        <f t="shared" si="1"/>
        <v>30</v>
      </c>
      <c r="C16" s="72" t="s">
        <v>414</v>
      </c>
      <c r="D16" s="190">
        <f t="shared" si="2"/>
        <v>1.4409722222222221E-2</v>
      </c>
      <c r="E16" s="190">
        <v>2.6041666666666665E-3</v>
      </c>
      <c r="F16" s="95">
        <f t="shared" si="3"/>
        <v>2.6041666666666661E-3</v>
      </c>
      <c r="G16" s="66">
        <v>1.7395833333333336E-2</v>
      </c>
      <c r="H16" s="95">
        <f t="shared" si="4"/>
        <v>1.479166666666667E-2</v>
      </c>
      <c r="I16" s="95">
        <f t="shared" si="5"/>
        <v>1.7395833333333336E-2</v>
      </c>
      <c r="J16" s="95">
        <f t="shared" si="6"/>
        <v>3.8194444444444864E-4</v>
      </c>
      <c r="K16" s="59">
        <f t="shared" si="7"/>
        <v>63.16</v>
      </c>
      <c r="L16" s="190"/>
      <c r="N16" s="92">
        <f t="shared" si="8"/>
        <v>1.479166666666667E-2</v>
      </c>
      <c r="O16" s="43">
        <f t="shared" si="9"/>
        <v>50</v>
      </c>
      <c r="P16" s="121">
        <v>0.67720000000000002</v>
      </c>
      <c r="Q16" s="43">
        <f t="shared" si="10"/>
        <v>24</v>
      </c>
      <c r="S16" s="177"/>
      <c r="T16" s="43">
        <v>15</v>
      </c>
      <c r="U16" s="43">
        <v>46</v>
      </c>
      <c r="V16" s="68" t="s">
        <v>422</v>
      </c>
      <c r="W16" s="92">
        <v>1.3483796296296294E-2</v>
      </c>
      <c r="X16" s="92">
        <f t="shared" si="11"/>
        <v>2.696759259259259E-3</v>
      </c>
      <c r="Y16" s="152"/>
      <c r="Z16" s="43">
        <v>15</v>
      </c>
      <c r="AA16" s="43">
        <v>43</v>
      </c>
      <c r="AB16" s="42" t="s">
        <v>426</v>
      </c>
      <c r="AC16" s="121">
        <v>0.72889999999999999</v>
      </c>
      <c r="AD16" s="176">
        <v>24987</v>
      </c>
      <c r="AG16" s="173"/>
      <c r="AK16" s="109"/>
      <c r="AL16" s="70"/>
      <c r="AM16" s="109"/>
      <c r="AN16" s="174"/>
    </row>
    <row r="17" spans="1:40" ht="16.5" customHeight="1" x14ac:dyDescent="0.2">
      <c r="A17" s="43">
        <f t="shared" si="0"/>
        <v>16</v>
      </c>
      <c r="B17" s="43">
        <f t="shared" si="1"/>
        <v>15</v>
      </c>
      <c r="C17" s="72" t="s">
        <v>422</v>
      </c>
      <c r="D17" s="190">
        <f t="shared" si="2"/>
        <v>1.3078703703703702E-2</v>
      </c>
      <c r="E17" s="190">
        <v>3.9351851851851857E-3</v>
      </c>
      <c r="F17" s="95">
        <f t="shared" si="3"/>
        <v>3.9351851851851857E-3</v>
      </c>
      <c r="G17" s="66">
        <v>1.741898148148148E-2</v>
      </c>
      <c r="H17" s="95">
        <f t="shared" si="4"/>
        <v>1.3483796296296294E-2</v>
      </c>
      <c r="I17" s="95">
        <f t="shared" si="5"/>
        <v>1.741898148148148E-2</v>
      </c>
      <c r="J17" s="95">
        <f t="shared" si="6"/>
        <v>4.0509259259259231E-4</v>
      </c>
      <c r="K17" s="59">
        <f t="shared" si="7"/>
        <v>60.53</v>
      </c>
      <c r="L17" s="190"/>
      <c r="N17" s="92">
        <f t="shared" si="8"/>
        <v>1.3483796296296294E-2</v>
      </c>
      <c r="O17" s="43">
        <f t="shared" si="9"/>
        <v>46</v>
      </c>
      <c r="P17" s="121">
        <v>0.72540000000000004</v>
      </c>
      <c r="Q17" s="43">
        <f t="shared" si="10"/>
        <v>17</v>
      </c>
      <c r="S17" s="177"/>
      <c r="T17" s="43">
        <v>16</v>
      </c>
      <c r="U17" s="43">
        <v>43</v>
      </c>
      <c r="V17" s="68" t="s">
        <v>423</v>
      </c>
      <c r="W17" s="92">
        <v>1.3541666666666667E-2</v>
      </c>
      <c r="X17" s="92">
        <f t="shared" si="11"/>
        <v>2.7083333333333334E-3</v>
      </c>
      <c r="Y17" s="152"/>
      <c r="Z17" s="43">
        <v>16</v>
      </c>
      <c r="AA17" s="43">
        <v>43</v>
      </c>
      <c r="AB17" s="42" t="s">
        <v>420</v>
      </c>
      <c r="AC17" s="121">
        <v>0.72860000000000003</v>
      </c>
      <c r="AD17" s="176">
        <v>26469</v>
      </c>
      <c r="AG17" s="173"/>
      <c r="AK17" s="109"/>
      <c r="AL17" s="70"/>
      <c r="AM17" s="109"/>
      <c r="AN17" s="174"/>
    </row>
    <row r="18" spans="1:40" ht="16.5" customHeight="1" x14ac:dyDescent="0.2">
      <c r="A18" s="43">
        <f t="shared" si="0"/>
        <v>17</v>
      </c>
      <c r="B18" s="43">
        <f t="shared" si="1"/>
        <v>13</v>
      </c>
      <c r="C18" s="72" t="s">
        <v>427</v>
      </c>
      <c r="D18" s="190">
        <f t="shared" si="2"/>
        <v>1.2731481481481479E-2</v>
      </c>
      <c r="E18" s="190">
        <v>4.2824074074074075E-3</v>
      </c>
      <c r="F18" s="95">
        <f t="shared" si="3"/>
        <v>4.2824074074074084E-3</v>
      </c>
      <c r="G18" s="66">
        <v>1.7453703703703704E-2</v>
      </c>
      <c r="H18" s="95">
        <f t="shared" si="4"/>
        <v>1.3171296296296296E-2</v>
      </c>
      <c r="I18" s="95">
        <f t="shared" si="5"/>
        <v>1.7453703703703704E-2</v>
      </c>
      <c r="J18" s="95">
        <f t="shared" si="6"/>
        <v>4.3981481481481649E-4</v>
      </c>
      <c r="K18" s="59">
        <f t="shared" si="7"/>
        <v>57.89</v>
      </c>
      <c r="L18" s="190"/>
      <c r="N18" s="92">
        <f t="shared" si="8"/>
        <v>1.3171296296296296E-2</v>
      </c>
      <c r="O18" s="43">
        <f t="shared" si="9"/>
        <v>45</v>
      </c>
      <c r="P18" s="121">
        <v>0.73109999999999997</v>
      </c>
      <c r="Q18" s="43">
        <f t="shared" si="10"/>
        <v>13</v>
      </c>
      <c r="S18" s="177"/>
      <c r="T18" s="43">
        <v>17</v>
      </c>
      <c r="U18" s="43">
        <v>49</v>
      </c>
      <c r="V18" s="68" t="s">
        <v>149</v>
      </c>
      <c r="W18" s="92">
        <v>1.3599537037037038E-2</v>
      </c>
      <c r="X18" s="92">
        <f t="shared" si="11"/>
        <v>2.7199074074074079E-3</v>
      </c>
      <c r="Y18" s="152"/>
      <c r="Z18" s="43">
        <v>17</v>
      </c>
      <c r="AA18" s="43">
        <v>46</v>
      </c>
      <c r="AB18" s="72" t="s">
        <v>422</v>
      </c>
      <c r="AC18" s="121">
        <v>0.72540000000000004</v>
      </c>
      <c r="AD18" s="176">
        <v>26857</v>
      </c>
      <c r="AG18" s="173"/>
      <c r="AK18" s="109"/>
      <c r="AL18" s="70"/>
      <c r="AM18" s="109"/>
      <c r="AN18" s="174"/>
    </row>
    <row r="19" spans="1:40" ht="16.5" customHeight="1" x14ac:dyDescent="0.2">
      <c r="A19" s="43">
        <f t="shared" si="0"/>
        <v>18</v>
      </c>
      <c r="B19" s="43">
        <f t="shared" si="1"/>
        <v>21</v>
      </c>
      <c r="C19" s="72" t="s">
        <v>147</v>
      </c>
      <c r="D19" s="190">
        <f t="shared" si="2"/>
        <v>1.3541666666666665E-2</v>
      </c>
      <c r="E19" s="190">
        <v>3.472222222222222E-3</v>
      </c>
      <c r="F19" s="95">
        <f t="shared" si="3"/>
        <v>3.472222222222222E-3</v>
      </c>
      <c r="G19" s="66">
        <v>1.7499999999999998E-2</v>
      </c>
      <c r="H19" s="95">
        <f t="shared" si="4"/>
        <v>1.4027777777777776E-2</v>
      </c>
      <c r="I19" s="95">
        <f t="shared" si="5"/>
        <v>1.7499999999999998E-2</v>
      </c>
      <c r="J19" s="95">
        <f t="shared" si="6"/>
        <v>4.8611111111111077E-4</v>
      </c>
      <c r="K19" s="59">
        <f t="shared" si="7"/>
        <v>55.26</v>
      </c>
      <c r="L19" s="190"/>
      <c r="N19" s="92">
        <f t="shared" si="8"/>
        <v>1.4027777777777776E-2</v>
      </c>
      <c r="O19" s="43">
        <f t="shared" si="9"/>
        <v>48</v>
      </c>
      <c r="P19" s="121">
        <v>0.70269999999999999</v>
      </c>
      <c r="Q19" s="43">
        <f t="shared" si="10"/>
        <v>20</v>
      </c>
      <c r="S19" s="177"/>
      <c r="T19" s="43">
        <v>18</v>
      </c>
      <c r="U19" s="43">
        <v>42</v>
      </c>
      <c r="V19" s="68" t="s">
        <v>418</v>
      </c>
      <c r="W19" s="92">
        <v>1.3715277777777778E-2</v>
      </c>
      <c r="X19" s="92">
        <f t="shared" si="11"/>
        <v>2.7430555555555554E-3</v>
      </c>
      <c r="Y19" s="152"/>
      <c r="Z19" s="43">
        <v>18</v>
      </c>
      <c r="AA19" s="43">
        <v>35</v>
      </c>
      <c r="AB19" s="42" t="s">
        <v>393</v>
      </c>
      <c r="AC19" s="121">
        <v>0.7107</v>
      </c>
      <c r="AD19" s="176">
        <v>25984</v>
      </c>
      <c r="AG19" s="173"/>
      <c r="AK19" s="109"/>
      <c r="AL19" s="70"/>
      <c r="AM19" s="109"/>
      <c r="AN19" s="174"/>
    </row>
    <row r="20" spans="1:40" ht="17.25" customHeight="1" x14ac:dyDescent="0.2">
      <c r="A20" s="43">
        <f t="shared" si="0"/>
        <v>19</v>
      </c>
      <c r="B20" s="43">
        <f t="shared" si="1"/>
        <v>23</v>
      </c>
      <c r="C20" s="72" t="s">
        <v>440</v>
      </c>
      <c r="D20" s="190">
        <f t="shared" si="2"/>
        <v>1.3541666666666665E-2</v>
      </c>
      <c r="E20" s="190">
        <v>3.472222222222222E-3</v>
      </c>
      <c r="F20" s="95">
        <f t="shared" si="3"/>
        <v>3.472222222222222E-3</v>
      </c>
      <c r="G20" s="66">
        <v>1.7523148148148149E-2</v>
      </c>
      <c r="H20" s="95">
        <f t="shared" si="4"/>
        <v>1.4050925925925927E-2</v>
      </c>
      <c r="I20" s="95">
        <f t="shared" si="5"/>
        <v>1.7523148148148149E-2</v>
      </c>
      <c r="J20" s="95">
        <f t="shared" si="6"/>
        <v>5.0925925925926138E-4</v>
      </c>
      <c r="K20" s="59">
        <f t="shared" si="7"/>
        <v>52.63</v>
      </c>
      <c r="L20" s="190"/>
      <c r="N20" s="92">
        <f t="shared" si="8"/>
        <v>1.4050925925925927E-2</v>
      </c>
      <c r="O20" s="43">
        <f t="shared" si="9"/>
        <v>48</v>
      </c>
      <c r="P20" s="121">
        <v>0.7016</v>
      </c>
      <c r="Q20" s="43">
        <f t="shared" si="10"/>
        <v>21</v>
      </c>
      <c r="S20" s="177"/>
      <c r="T20" s="43">
        <v>19</v>
      </c>
      <c r="U20" s="43">
        <v>47</v>
      </c>
      <c r="V20" s="68" t="s">
        <v>425</v>
      </c>
      <c r="W20" s="92">
        <v>1.3831018518518517E-2</v>
      </c>
      <c r="X20" s="92">
        <f t="shared" si="11"/>
        <v>2.7662037037037034E-3</v>
      </c>
      <c r="Y20" s="152"/>
      <c r="Z20" s="43">
        <v>19</v>
      </c>
      <c r="AA20" s="43">
        <v>47</v>
      </c>
      <c r="AB20" s="42" t="s">
        <v>425</v>
      </c>
      <c r="AC20" s="121">
        <v>0.70720000000000005</v>
      </c>
      <c r="AD20" s="176">
        <v>26030</v>
      </c>
      <c r="AG20" s="173"/>
      <c r="AK20" s="109"/>
      <c r="AL20" s="70"/>
      <c r="AM20" s="109"/>
      <c r="AN20" s="174"/>
    </row>
    <row r="21" spans="1:40" ht="17.25" customHeight="1" x14ac:dyDescent="0.2">
      <c r="A21" s="43">
        <f t="shared" si="0"/>
        <v>20</v>
      </c>
      <c r="B21" s="43">
        <f t="shared" si="1"/>
        <v>27</v>
      </c>
      <c r="C21" s="72" t="s">
        <v>250</v>
      </c>
      <c r="D21" s="190">
        <f t="shared" si="2"/>
        <v>1.4004629629629629E-2</v>
      </c>
      <c r="E21" s="190">
        <v>3.0092592592592588E-3</v>
      </c>
      <c r="F21" s="95">
        <f t="shared" si="3"/>
        <v>3.0092592592592584E-3</v>
      </c>
      <c r="G21" s="66">
        <v>1.7569444444444447E-2</v>
      </c>
      <c r="H21" s="95">
        <f t="shared" si="4"/>
        <v>1.4560185185185188E-2</v>
      </c>
      <c r="I21" s="95">
        <f t="shared" si="5"/>
        <v>1.7569444444444447E-2</v>
      </c>
      <c r="J21" s="95">
        <f t="shared" si="6"/>
        <v>5.5555555555555913E-4</v>
      </c>
      <c r="K21" s="59">
        <f t="shared" si="7"/>
        <v>50</v>
      </c>
      <c r="L21" s="190"/>
      <c r="N21" s="92">
        <f t="shared" si="8"/>
        <v>1.4560185185185188E-2</v>
      </c>
      <c r="O21" s="43">
        <f t="shared" si="9"/>
        <v>47</v>
      </c>
      <c r="P21" s="121">
        <v>0.76770000000000005</v>
      </c>
      <c r="Q21" s="43">
        <f t="shared" si="10"/>
        <v>7</v>
      </c>
      <c r="S21" s="177"/>
      <c r="T21" s="43">
        <v>20</v>
      </c>
      <c r="U21" s="43">
        <v>56</v>
      </c>
      <c r="V21" s="68" t="s">
        <v>247</v>
      </c>
      <c r="W21" s="92">
        <v>1.383101851851852E-2</v>
      </c>
      <c r="X21" s="92">
        <f t="shared" si="11"/>
        <v>2.7662037037037039E-3</v>
      </c>
      <c r="Y21" s="152"/>
      <c r="Z21" s="43">
        <v>20</v>
      </c>
      <c r="AA21" s="43">
        <v>48</v>
      </c>
      <c r="AB21" s="42" t="s">
        <v>147</v>
      </c>
      <c r="AC21" s="121">
        <v>0.70269999999999999</v>
      </c>
      <c r="AD21" s="176">
        <v>26072</v>
      </c>
      <c r="AG21" s="173"/>
      <c r="AK21" s="109"/>
      <c r="AL21" s="70"/>
      <c r="AM21" s="109"/>
      <c r="AN21" s="174"/>
    </row>
    <row r="22" spans="1:40" ht="17.25" customHeight="1" x14ac:dyDescent="0.2">
      <c r="A22" s="43">
        <f t="shared" si="0"/>
        <v>21</v>
      </c>
      <c r="B22" s="43">
        <f t="shared" si="1"/>
        <v>16</v>
      </c>
      <c r="C22" s="72" t="s">
        <v>423</v>
      </c>
      <c r="D22" s="190">
        <f t="shared" si="2"/>
        <v>1.2962962962962961E-2</v>
      </c>
      <c r="E22" s="190">
        <v>4.0509259259259257E-3</v>
      </c>
      <c r="F22" s="95">
        <f t="shared" si="3"/>
        <v>4.0509259259259266E-3</v>
      </c>
      <c r="G22" s="66">
        <v>1.7592592592592594E-2</v>
      </c>
      <c r="H22" s="95">
        <f t="shared" si="4"/>
        <v>1.3541666666666667E-2</v>
      </c>
      <c r="I22" s="95">
        <f t="shared" si="5"/>
        <v>1.7592592592592594E-2</v>
      </c>
      <c r="J22" s="95">
        <f t="shared" si="6"/>
        <v>5.7870370370370627E-4</v>
      </c>
      <c r="K22" s="59">
        <f t="shared" si="7"/>
        <v>47.37</v>
      </c>
      <c r="L22" s="191"/>
      <c r="N22" s="92">
        <f t="shared" si="8"/>
        <v>1.3541666666666667E-2</v>
      </c>
      <c r="O22" s="43">
        <f t="shared" si="9"/>
        <v>43</v>
      </c>
      <c r="P22" s="121">
        <v>0.70020000000000004</v>
      </c>
      <c r="Q22" s="43">
        <f t="shared" si="10"/>
        <v>22</v>
      </c>
      <c r="S22" s="177"/>
      <c r="T22" s="43">
        <v>21</v>
      </c>
      <c r="U22" s="43">
        <v>48</v>
      </c>
      <c r="V22" s="68" t="s">
        <v>147</v>
      </c>
      <c r="W22" s="92">
        <v>1.4027777777777776E-2</v>
      </c>
      <c r="X22" s="92">
        <f t="shared" si="11"/>
        <v>2.8055555555555551E-3</v>
      </c>
      <c r="Y22" s="152"/>
      <c r="Z22" s="43">
        <v>21</v>
      </c>
      <c r="AA22" s="43">
        <v>48</v>
      </c>
      <c r="AB22" s="42" t="s">
        <v>440</v>
      </c>
      <c r="AC22" s="121">
        <v>0.7016</v>
      </c>
      <c r="AD22" s="176">
        <v>27828</v>
      </c>
      <c r="AG22" s="173"/>
      <c r="AK22" s="109"/>
      <c r="AL22" s="70"/>
      <c r="AM22" s="109"/>
      <c r="AN22" s="174"/>
    </row>
    <row r="23" spans="1:40" ht="18" customHeight="1" x14ac:dyDescent="0.2">
      <c r="A23" s="43">
        <f t="shared" si="0"/>
        <v>22</v>
      </c>
      <c r="B23" s="43">
        <f t="shared" si="1"/>
        <v>5</v>
      </c>
      <c r="C23" s="72" t="s">
        <v>430</v>
      </c>
      <c r="D23" s="190">
        <f t="shared" si="2"/>
        <v>1.1689814814814813E-2</v>
      </c>
      <c r="E23" s="190">
        <v>5.3240740740740748E-3</v>
      </c>
      <c r="F23" s="95">
        <f t="shared" si="3"/>
        <v>5.3240740740740748E-3</v>
      </c>
      <c r="G23" s="66">
        <v>1.7604166666666667E-2</v>
      </c>
      <c r="H23" s="95">
        <f t="shared" si="4"/>
        <v>1.2280092592592592E-2</v>
      </c>
      <c r="I23" s="95">
        <f t="shared" si="5"/>
        <v>1.7604166666666667E-2</v>
      </c>
      <c r="J23" s="95">
        <f t="shared" si="6"/>
        <v>5.9027777777777984E-4</v>
      </c>
      <c r="K23" s="59">
        <f t="shared" si="7"/>
        <v>44.74</v>
      </c>
      <c r="L23" s="190"/>
      <c r="N23" s="92">
        <f t="shared" si="8"/>
        <v>1.2280092592592592E-2</v>
      </c>
      <c r="O23" s="43">
        <f t="shared" si="9"/>
        <v>47</v>
      </c>
      <c r="P23" s="121">
        <v>0.79649999999999999</v>
      </c>
      <c r="Q23" s="43">
        <f t="shared" si="10"/>
        <v>2</v>
      </c>
      <c r="S23" s="177"/>
      <c r="T23" s="43">
        <v>22</v>
      </c>
      <c r="U23" s="43">
        <v>42</v>
      </c>
      <c r="V23" s="68" t="s">
        <v>246</v>
      </c>
      <c r="W23" s="92">
        <v>1.4027777777777778E-2</v>
      </c>
      <c r="X23" s="92">
        <f t="shared" si="11"/>
        <v>2.8055555555555555E-3</v>
      </c>
      <c r="Y23" s="152"/>
      <c r="Z23" s="43">
        <v>22</v>
      </c>
      <c r="AA23" s="43">
        <v>43</v>
      </c>
      <c r="AB23" s="42" t="s">
        <v>423</v>
      </c>
      <c r="AC23" s="121">
        <v>0.70020000000000004</v>
      </c>
      <c r="AD23" s="176">
        <v>26152</v>
      </c>
      <c r="AG23" s="173"/>
      <c r="AK23" s="109"/>
      <c r="AL23" s="70"/>
      <c r="AM23" s="109"/>
      <c r="AN23" s="174"/>
    </row>
    <row r="24" spans="1:40" ht="18" customHeight="1" x14ac:dyDescent="0.2">
      <c r="A24" s="43">
        <f t="shared" si="0"/>
        <v>23</v>
      </c>
      <c r="B24" s="43">
        <f t="shared" si="1"/>
        <v>33</v>
      </c>
      <c r="C24" s="72" t="s">
        <v>412</v>
      </c>
      <c r="D24" s="190">
        <f t="shared" si="2"/>
        <v>1.5104166666666665E-2</v>
      </c>
      <c r="E24" s="190">
        <v>1.9097222222222222E-3</v>
      </c>
      <c r="F24" s="95">
        <f t="shared" si="3"/>
        <v>1.9097222222222224E-3</v>
      </c>
      <c r="G24" s="66">
        <v>1.7615740740740741E-2</v>
      </c>
      <c r="H24" s="95">
        <f t="shared" si="4"/>
        <v>1.5706018518518518E-2</v>
      </c>
      <c r="I24" s="95">
        <f t="shared" si="5"/>
        <v>1.7615740740740741E-2</v>
      </c>
      <c r="J24" s="95">
        <f t="shared" si="6"/>
        <v>6.0185185185185341E-4</v>
      </c>
      <c r="K24" s="59">
        <f t="shared" si="7"/>
        <v>42.11</v>
      </c>
      <c r="L24" s="190"/>
      <c r="N24" s="92">
        <f t="shared" si="8"/>
        <v>1.5706018518518518E-2</v>
      </c>
      <c r="O24" s="43">
        <f t="shared" si="9"/>
        <v>36</v>
      </c>
      <c r="P24" s="121">
        <v>0.57730000000000004</v>
      </c>
      <c r="Q24" s="43">
        <f t="shared" si="10"/>
        <v>35</v>
      </c>
      <c r="S24" s="177"/>
      <c r="T24" s="43">
        <v>23</v>
      </c>
      <c r="U24" s="43">
        <v>48</v>
      </c>
      <c r="V24" s="68" t="s">
        <v>440</v>
      </c>
      <c r="W24" s="92">
        <v>1.4050925925925927E-2</v>
      </c>
      <c r="X24" s="92">
        <f t="shared" si="11"/>
        <v>2.8101851851851855E-3</v>
      </c>
      <c r="Y24" s="152"/>
      <c r="Z24" s="43">
        <v>23</v>
      </c>
      <c r="AA24" s="43">
        <v>42</v>
      </c>
      <c r="AB24" s="42" t="s">
        <v>418</v>
      </c>
      <c r="AC24" s="121">
        <v>0.68620000000000003</v>
      </c>
      <c r="AD24" s="176">
        <v>30153</v>
      </c>
      <c r="AG24" s="173"/>
      <c r="AK24" s="109"/>
      <c r="AL24" s="70"/>
      <c r="AM24" s="109"/>
      <c r="AN24" s="174"/>
    </row>
    <row r="25" spans="1:40" ht="18" customHeight="1" x14ac:dyDescent="0.2">
      <c r="A25" s="43">
        <f t="shared" si="0"/>
        <v>24</v>
      </c>
      <c r="B25" s="43">
        <f t="shared" si="1"/>
        <v>17</v>
      </c>
      <c r="C25" s="72" t="s">
        <v>149</v>
      </c>
      <c r="D25" s="190">
        <f t="shared" si="2"/>
        <v>1.2847222222222222E-2</v>
      </c>
      <c r="E25" s="190">
        <v>4.1666666666666666E-3</v>
      </c>
      <c r="F25" s="95">
        <f t="shared" si="3"/>
        <v>4.1666666666666657E-3</v>
      </c>
      <c r="G25" s="66">
        <v>1.7766203703703704E-2</v>
      </c>
      <c r="H25" s="95">
        <f t="shared" si="4"/>
        <v>1.3599537037037038E-2</v>
      </c>
      <c r="I25" s="95">
        <f t="shared" si="5"/>
        <v>1.7766203703703704E-2</v>
      </c>
      <c r="J25" s="95">
        <f t="shared" si="6"/>
        <v>7.5231481481481677E-4</v>
      </c>
      <c r="K25" s="59">
        <f t="shared" si="7"/>
        <v>39.47</v>
      </c>
      <c r="L25" s="190"/>
      <c r="N25" s="92">
        <f t="shared" si="8"/>
        <v>1.3599537037037038E-2</v>
      </c>
      <c r="O25" s="43">
        <f t="shared" si="9"/>
        <v>49</v>
      </c>
      <c r="P25" s="121">
        <v>0.73070000000000002</v>
      </c>
      <c r="Q25" s="43">
        <f t="shared" si="10"/>
        <v>14</v>
      </c>
      <c r="S25" s="177"/>
      <c r="T25" s="43">
        <v>24</v>
      </c>
      <c r="U25" s="43">
        <v>35</v>
      </c>
      <c r="V25" s="68" t="s">
        <v>393</v>
      </c>
      <c r="W25" s="92">
        <v>1.4247685185185186E-2</v>
      </c>
      <c r="X25" s="92">
        <f t="shared" si="11"/>
        <v>2.8495370370370371E-3</v>
      </c>
      <c r="Y25" s="152"/>
      <c r="Z25" s="43">
        <v>24</v>
      </c>
      <c r="AA25" s="43">
        <v>50</v>
      </c>
      <c r="AB25" s="42" t="s">
        <v>414</v>
      </c>
      <c r="AC25" s="121">
        <v>0.67720000000000002</v>
      </c>
      <c r="AD25" s="176">
        <v>25581</v>
      </c>
      <c r="AG25" s="173"/>
      <c r="AK25" s="109"/>
      <c r="AL25" s="70"/>
      <c r="AM25" s="109"/>
      <c r="AN25" s="174"/>
    </row>
    <row r="26" spans="1:40" ht="18" customHeight="1" x14ac:dyDescent="0.2">
      <c r="A26" s="43">
        <f t="shared" si="0"/>
        <v>25</v>
      </c>
      <c r="B26" s="43">
        <f t="shared" si="1"/>
        <v>26</v>
      </c>
      <c r="C26" s="72" t="s">
        <v>415</v>
      </c>
      <c r="D26" s="190">
        <f t="shared" si="2"/>
        <v>1.3657407407407406E-2</v>
      </c>
      <c r="E26" s="190">
        <v>3.3564814814814811E-3</v>
      </c>
      <c r="F26" s="95">
        <f t="shared" si="3"/>
        <v>3.3564814814814811E-3</v>
      </c>
      <c r="G26" s="66">
        <v>1.7881944444444443E-2</v>
      </c>
      <c r="H26" s="95">
        <f t="shared" si="4"/>
        <v>1.4525462962962962E-2</v>
      </c>
      <c r="I26" s="95">
        <f t="shared" si="5"/>
        <v>1.7881944444444443E-2</v>
      </c>
      <c r="J26" s="95">
        <f t="shared" si="6"/>
        <v>8.6805555555555594E-4</v>
      </c>
      <c r="K26" s="59">
        <f t="shared" si="7"/>
        <v>36.840000000000003</v>
      </c>
      <c r="L26" s="190"/>
      <c r="N26" s="92">
        <f t="shared" si="8"/>
        <v>1.4525462962962962E-2</v>
      </c>
      <c r="O26" s="43">
        <f t="shared" si="9"/>
        <v>39</v>
      </c>
      <c r="P26" s="121">
        <v>0.63349999999999995</v>
      </c>
      <c r="Q26" s="43">
        <f t="shared" si="10"/>
        <v>29</v>
      </c>
      <c r="S26" s="177"/>
      <c r="T26" s="43">
        <v>25</v>
      </c>
      <c r="U26" s="43">
        <v>41</v>
      </c>
      <c r="V26" s="68" t="s">
        <v>419</v>
      </c>
      <c r="W26" s="92">
        <v>1.443287037037037E-2</v>
      </c>
      <c r="X26" s="92">
        <f t="shared" si="11"/>
        <v>2.886574074074074E-3</v>
      </c>
      <c r="Y26" s="152"/>
      <c r="Z26" s="43">
        <v>25</v>
      </c>
      <c r="AA26" s="43">
        <v>42</v>
      </c>
      <c r="AB26" s="42" t="s">
        <v>246</v>
      </c>
      <c r="AC26" s="121">
        <v>0.67090000000000005</v>
      </c>
      <c r="AD26" s="176">
        <v>29063</v>
      </c>
      <c r="AG26" s="173"/>
      <c r="AK26" s="109"/>
      <c r="AL26" s="70"/>
      <c r="AM26" s="109"/>
    </row>
    <row r="27" spans="1:40" ht="18" customHeight="1" x14ac:dyDescent="0.2">
      <c r="A27" s="43">
        <f t="shared" si="0"/>
        <v>26</v>
      </c>
      <c r="B27" s="43">
        <f t="shared" si="1"/>
        <v>38</v>
      </c>
      <c r="C27" s="72" t="s">
        <v>410</v>
      </c>
      <c r="D27" s="190">
        <f t="shared" si="2"/>
        <v>1.7013888888888887E-2</v>
      </c>
      <c r="E27" s="190">
        <v>0</v>
      </c>
      <c r="F27" s="95">
        <f t="shared" si="3"/>
        <v>0</v>
      </c>
      <c r="G27" s="66">
        <v>1.7916666666666668E-2</v>
      </c>
      <c r="H27" s="95">
        <f t="shared" si="4"/>
        <v>1.7916666666666668E-2</v>
      </c>
      <c r="I27" s="95">
        <f t="shared" si="5"/>
        <v>1.7916666666666668E-2</v>
      </c>
      <c r="J27" s="95">
        <f t="shared" si="6"/>
        <v>9.0277777777778012E-4</v>
      </c>
      <c r="K27" s="59">
        <f t="shared" si="7"/>
        <v>34.21</v>
      </c>
      <c r="L27" s="190"/>
      <c r="N27" s="92">
        <f t="shared" si="8"/>
        <v>1.7916666666666668E-2</v>
      </c>
      <c r="O27" s="43">
        <f t="shared" si="9"/>
        <v>42</v>
      </c>
      <c r="P27" s="121">
        <v>0.59099999999999997</v>
      </c>
      <c r="Q27" s="43">
        <f t="shared" si="10"/>
        <v>34</v>
      </c>
      <c r="S27" s="177"/>
      <c r="T27" s="43">
        <v>26</v>
      </c>
      <c r="U27" s="43">
        <v>39</v>
      </c>
      <c r="V27" s="68" t="s">
        <v>415</v>
      </c>
      <c r="W27" s="92">
        <v>1.4525462962962962E-2</v>
      </c>
      <c r="X27" s="92">
        <f t="shared" si="11"/>
        <v>2.9050925925925924E-3</v>
      </c>
      <c r="Y27" s="152"/>
      <c r="Z27" s="43">
        <v>26</v>
      </c>
      <c r="AA27" s="43">
        <v>34</v>
      </c>
      <c r="AB27" s="42" t="s">
        <v>421</v>
      </c>
      <c r="AC27" s="121">
        <v>0.66320000000000001</v>
      </c>
      <c r="AD27" s="176">
        <v>28156</v>
      </c>
      <c r="AG27" s="173"/>
      <c r="AK27" s="109"/>
      <c r="AL27" s="70"/>
      <c r="AM27" s="109"/>
      <c r="AN27" s="174"/>
    </row>
    <row r="28" spans="1:40" ht="18" customHeight="1" x14ac:dyDescent="0.2">
      <c r="A28" s="73">
        <f t="shared" si="0"/>
        <v>27</v>
      </c>
      <c r="B28" s="73">
        <f t="shared" si="1"/>
        <v>25</v>
      </c>
      <c r="C28" s="72" t="s">
        <v>419</v>
      </c>
      <c r="D28" s="190">
        <f t="shared" si="2"/>
        <v>1.3483796296296296E-2</v>
      </c>
      <c r="E28" s="190">
        <v>3.530092592592592E-3</v>
      </c>
      <c r="F28" s="95">
        <f t="shared" si="3"/>
        <v>3.5300925925925916E-3</v>
      </c>
      <c r="G28" s="66">
        <v>1.7962962962962962E-2</v>
      </c>
      <c r="H28" s="95">
        <f t="shared" si="4"/>
        <v>1.443287037037037E-2</v>
      </c>
      <c r="I28" s="95">
        <f t="shared" si="5"/>
        <v>1.7962962962962962E-2</v>
      </c>
      <c r="J28" s="95">
        <f t="shared" si="6"/>
        <v>9.490740740740744E-4</v>
      </c>
      <c r="K28" s="77">
        <f t="shared" si="7"/>
        <v>31.58</v>
      </c>
      <c r="L28" s="190"/>
      <c r="N28" s="92">
        <f t="shared" si="8"/>
        <v>1.443287037037037E-2</v>
      </c>
      <c r="O28" s="43">
        <f t="shared" si="9"/>
        <v>41</v>
      </c>
      <c r="P28" s="121">
        <v>0.6472</v>
      </c>
      <c r="Q28" s="43">
        <f t="shared" si="10"/>
        <v>28</v>
      </c>
      <c r="S28" s="177"/>
      <c r="T28" s="43">
        <v>27</v>
      </c>
      <c r="U28" s="43">
        <v>47</v>
      </c>
      <c r="V28" s="68" t="s">
        <v>250</v>
      </c>
      <c r="W28" s="92">
        <v>1.4560185185185188E-2</v>
      </c>
      <c r="X28" s="92">
        <f t="shared" si="11"/>
        <v>2.9120370370370376E-3</v>
      </c>
      <c r="Y28" s="152"/>
      <c r="Z28" s="43">
        <v>27</v>
      </c>
      <c r="AA28" s="43">
        <v>44</v>
      </c>
      <c r="AB28" s="42" t="s">
        <v>378</v>
      </c>
      <c r="AC28" s="121">
        <v>0.65059999999999996</v>
      </c>
      <c r="AD28" s="176">
        <v>28320</v>
      </c>
      <c r="AG28" s="173"/>
      <c r="AK28" s="109"/>
      <c r="AL28" s="70"/>
      <c r="AM28" s="109"/>
      <c r="AN28" s="174"/>
    </row>
    <row r="29" spans="1:40" ht="18" customHeight="1" x14ac:dyDescent="0.2">
      <c r="A29" s="43">
        <f t="shared" si="0"/>
        <v>28</v>
      </c>
      <c r="B29" s="43">
        <f t="shared" si="1"/>
        <v>36</v>
      </c>
      <c r="C29" s="72" t="s">
        <v>411</v>
      </c>
      <c r="D29" s="190">
        <f t="shared" si="2"/>
        <v>1.5509259259259257E-2</v>
      </c>
      <c r="E29" s="190">
        <v>1.5046296296296294E-3</v>
      </c>
      <c r="F29" s="95">
        <f t="shared" si="3"/>
        <v>1.5046296296296301E-3</v>
      </c>
      <c r="G29" s="66">
        <v>1.8055555555555557E-2</v>
      </c>
      <c r="H29" s="95">
        <f t="shared" si="4"/>
        <v>1.6550925925925927E-2</v>
      </c>
      <c r="I29" s="95">
        <f t="shared" si="5"/>
        <v>1.8055555555555557E-2</v>
      </c>
      <c r="J29" s="95">
        <f t="shared" si="6"/>
        <v>1.0416666666666699E-3</v>
      </c>
      <c r="K29" s="59">
        <f t="shared" si="7"/>
        <v>28.95</v>
      </c>
      <c r="L29" s="190"/>
      <c r="N29" s="92">
        <f t="shared" si="8"/>
        <v>1.6550925925925927E-2</v>
      </c>
      <c r="O29" s="43">
        <f t="shared" si="9"/>
        <v>37</v>
      </c>
      <c r="P29" s="121">
        <v>0.54790000000000005</v>
      </c>
      <c r="Q29" s="43">
        <f t="shared" si="10"/>
        <v>37</v>
      </c>
      <c r="S29" s="177"/>
      <c r="T29" s="43">
        <v>28</v>
      </c>
      <c r="U29" s="43">
        <v>44</v>
      </c>
      <c r="V29" s="68" t="s">
        <v>378</v>
      </c>
      <c r="W29" s="92">
        <v>1.4687499999999999E-2</v>
      </c>
      <c r="X29" s="92">
        <f t="shared" si="11"/>
        <v>2.9375E-3</v>
      </c>
      <c r="Y29" s="152"/>
      <c r="Z29" s="43">
        <v>28</v>
      </c>
      <c r="AA29" s="43">
        <v>41</v>
      </c>
      <c r="AB29" s="72" t="s">
        <v>419</v>
      </c>
      <c r="AC29" s="121">
        <v>0.6472</v>
      </c>
      <c r="AD29" s="176">
        <v>29767</v>
      </c>
      <c r="AG29" s="173"/>
      <c r="AK29" s="109"/>
      <c r="AL29" s="70"/>
      <c r="AM29" s="109"/>
      <c r="AN29" s="174"/>
    </row>
    <row r="30" spans="1:40" ht="18" customHeight="1" x14ac:dyDescent="0.2">
      <c r="A30" s="43">
        <f t="shared" si="0"/>
        <v>29</v>
      </c>
      <c r="B30" s="43">
        <f t="shared" si="1"/>
        <v>19</v>
      </c>
      <c r="C30" s="72" t="s">
        <v>425</v>
      </c>
      <c r="D30" s="190">
        <f t="shared" si="2"/>
        <v>1.2731481481481479E-2</v>
      </c>
      <c r="E30" s="190">
        <v>4.2824074074074075E-3</v>
      </c>
      <c r="F30" s="95">
        <f t="shared" si="3"/>
        <v>4.2824074074074084E-3</v>
      </c>
      <c r="G30" s="66">
        <v>1.8113425925925925E-2</v>
      </c>
      <c r="H30" s="95">
        <f t="shared" si="4"/>
        <v>1.3831018518518517E-2</v>
      </c>
      <c r="I30" s="95">
        <f t="shared" si="5"/>
        <v>1.8113425925925925E-2</v>
      </c>
      <c r="J30" s="95">
        <f t="shared" si="6"/>
        <v>1.0995370370370378E-3</v>
      </c>
      <c r="K30" s="59">
        <f t="shared" si="7"/>
        <v>26.32</v>
      </c>
      <c r="L30" s="191"/>
      <c r="N30" s="92">
        <f t="shared" si="8"/>
        <v>1.3831018518518517E-2</v>
      </c>
      <c r="O30" s="43">
        <f t="shared" si="9"/>
        <v>47</v>
      </c>
      <c r="P30" s="121">
        <v>0.70720000000000005</v>
      </c>
      <c r="Q30" s="43">
        <f t="shared" si="10"/>
        <v>19</v>
      </c>
      <c r="S30" s="177"/>
      <c r="T30" s="43">
        <v>29</v>
      </c>
      <c r="U30" s="43">
        <v>35</v>
      </c>
      <c r="V30" s="72" t="s">
        <v>417</v>
      </c>
      <c r="W30" s="92">
        <v>1.474537037037037E-2</v>
      </c>
      <c r="X30" s="92">
        <f t="shared" si="11"/>
        <v>2.949074074074074E-3</v>
      </c>
      <c r="Y30" s="152"/>
      <c r="Z30" s="43">
        <v>29</v>
      </c>
      <c r="AA30" s="43">
        <v>39</v>
      </c>
      <c r="AB30" s="42" t="s">
        <v>415</v>
      </c>
      <c r="AC30" s="121">
        <v>0.63349999999999995</v>
      </c>
      <c r="AD30" s="176">
        <v>26323</v>
      </c>
      <c r="AG30" s="173"/>
      <c r="AK30" s="109"/>
      <c r="AL30" s="70"/>
      <c r="AM30" s="109"/>
      <c r="AN30" s="174"/>
    </row>
    <row r="31" spans="1:40" ht="18" customHeight="1" x14ac:dyDescent="0.2">
      <c r="A31" s="43">
        <f t="shared" si="0"/>
        <v>30</v>
      </c>
      <c r="B31" s="43">
        <f t="shared" si="1"/>
        <v>31</v>
      </c>
      <c r="C31" s="72" t="s">
        <v>150</v>
      </c>
      <c r="D31" s="190">
        <f t="shared" si="2"/>
        <v>1.4004629629629629E-2</v>
      </c>
      <c r="E31" s="190">
        <v>3.0092592592592588E-3</v>
      </c>
      <c r="F31" s="95">
        <f t="shared" si="3"/>
        <v>3.0092592592592584E-3</v>
      </c>
      <c r="G31" s="66">
        <v>1.8194444444444444E-2</v>
      </c>
      <c r="H31" s="95">
        <f t="shared" si="4"/>
        <v>1.5185185185185185E-2</v>
      </c>
      <c r="I31" s="95">
        <f t="shared" si="5"/>
        <v>1.8194444444444444E-2</v>
      </c>
      <c r="J31" s="95">
        <f t="shared" si="6"/>
        <v>1.1805555555555562E-3</v>
      </c>
      <c r="K31" s="59">
        <f t="shared" si="7"/>
        <v>23.68</v>
      </c>
      <c r="L31" s="190"/>
      <c r="N31" s="92">
        <f t="shared" si="8"/>
        <v>1.5185185185185185E-2</v>
      </c>
      <c r="O31" s="43">
        <f t="shared" si="9"/>
        <v>44</v>
      </c>
      <c r="P31" s="121">
        <v>0.62929999999999997</v>
      </c>
      <c r="Q31" s="43">
        <f t="shared" si="10"/>
        <v>30</v>
      </c>
      <c r="S31" s="177"/>
      <c r="T31" s="43">
        <v>30</v>
      </c>
      <c r="U31" s="43">
        <v>50</v>
      </c>
      <c r="V31" s="68" t="s">
        <v>414</v>
      </c>
      <c r="W31" s="92">
        <v>1.479166666666667E-2</v>
      </c>
      <c r="X31" s="92">
        <f t="shared" si="11"/>
        <v>2.9583333333333341E-3</v>
      </c>
      <c r="Y31" s="152"/>
      <c r="Z31" s="43">
        <v>30</v>
      </c>
      <c r="AA31" s="43">
        <v>44</v>
      </c>
      <c r="AB31" s="42" t="s">
        <v>150</v>
      </c>
      <c r="AC31" s="121">
        <v>0.62929999999999997</v>
      </c>
      <c r="AD31" s="176">
        <v>27347</v>
      </c>
      <c r="AG31" s="173"/>
      <c r="AK31" s="109"/>
      <c r="AL31" s="70"/>
      <c r="AM31" s="109"/>
      <c r="AN31" s="174"/>
    </row>
    <row r="32" spans="1:40" ht="18" customHeight="1" x14ac:dyDescent="0.2">
      <c r="A32" s="43">
        <f t="shared" si="0"/>
        <v>31</v>
      </c>
      <c r="B32" s="43">
        <f t="shared" si="1"/>
        <v>29</v>
      </c>
      <c r="C32" s="72" t="s">
        <v>417</v>
      </c>
      <c r="D32" s="190">
        <f t="shared" si="2"/>
        <v>1.3483796296296296E-2</v>
      </c>
      <c r="E32" s="190">
        <v>3.530092592592592E-3</v>
      </c>
      <c r="F32" s="95">
        <f t="shared" si="3"/>
        <v>3.5300925925925916E-3</v>
      </c>
      <c r="G32" s="66">
        <v>1.8275462962962962E-2</v>
      </c>
      <c r="H32" s="95">
        <f t="shared" si="4"/>
        <v>1.474537037037037E-2</v>
      </c>
      <c r="I32" s="95">
        <f t="shared" si="5"/>
        <v>1.8275462962962962E-2</v>
      </c>
      <c r="J32" s="95">
        <f t="shared" si="6"/>
        <v>1.2615740740740747E-3</v>
      </c>
      <c r="K32" s="59">
        <f t="shared" si="7"/>
        <v>21.05</v>
      </c>
      <c r="L32" s="190"/>
      <c r="N32" s="92">
        <f t="shared" si="8"/>
        <v>1.474537037037037E-2</v>
      </c>
      <c r="O32" s="43">
        <f t="shared" si="9"/>
        <v>35</v>
      </c>
      <c r="P32" s="121">
        <v>0.60709999999999997</v>
      </c>
      <c r="Q32" s="43">
        <f t="shared" si="10"/>
        <v>33</v>
      </c>
      <c r="S32" s="177"/>
      <c r="T32" s="43">
        <v>31</v>
      </c>
      <c r="U32" s="43">
        <v>44</v>
      </c>
      <c r="V32" s="68" t="s">
        <v>150</v>
      </c>
      <c r="W32" s="92">
        <v>1.5185185185185185E-2</v>
      </c>
      <c r="X32" s="92">
        <f t="shared" si="11"/>
        <v>3.0370370370370369E-3</v>
      </c>
      <c r="Y32" s="152"/>
      <c r="Z32" s="43">
        <v>31</v>
      </c>
      <c r="AA32" s="43">
        <v>33</v>
      </c>
      <c r="AB32" s="42" t="s">
        <v>413</v>
      </c>
      <c r="AC32" s="121">
        <v>0.61599999999999999</v>
      </c>
      <c r="AD32" s="176">
        <v>30551</v>
      </c>
      <c r="AG32" s="173"/>
      <c r="AK32" s="109"/>
      <c r="AL32" s="70"/>
      <c r="AM32" s="109"/>
      <c r="AN32" s="174"/>
    </row>
    <row r="33" spans="1:40" ht="18" customHeight="1" x14ac:dyDescent="0.2">
      <c r="A33" s="43">
        <f t="shared" si="0"/>
        <v>31</v>
      </c>
      <c r="B33" s="43">
        <f t="shared" si="1"/>
        <v>28</v>
      </c>
      <c r="C33" s="72" t="s">
        <v>378</v>
      </c>
      <c r="D33" s="190">
        <f t="shared" si="2"/>
        <v>1.3425925925925924E-2</v>
      </c>
      <c r="E33" s="190">
        <v>3.5879629629629629E-3</v>
      </c>
      <c r="F33" s="95">
        <f t="shared" si="3"/>
        <v>3.5879629629629629E-3</v>
      </c>
      <c r="G33" s="66">
        <v>1.8275462962962962E-2</v>
      </c>
      <c r="H33" s="95">
        <f t="shared" si="4"/>
        <v>1.4687499999999999E-2</v>
      </c>
      <c r="I33" s="95">
        <f t="shared" si="5"/>
        <v>1.8275462962962962E-2</v>
      </c>
      <c r="J33" s="95">
        <f t="shared" si="6"/>
        <v>1.2615740740740747E-3</v>
      </c>
      <c r="K33" s="59">
        <f t="shared" si="7"/>
        <v>21.05</v>
      </c>
      <c r="L33" s="190"/>
      <c r="N33" s="92">
        <f t="shared" si="8"/>
        <v>1.4687499999999999E-2</v>
      </c>
      <c r="O33" s="43">
        <f t="shared" si="9"/>
        <v>44</v>
      </c>
      <c r="P33" s="121">
        <v>0.65059999999999996</v>
      </c>
      <c r="Q33" s="43">
        <f t="shared" si="10"/>
        <v>27</v>
      </c>
      <c r="S33" s="177"/>
      <c r="T33" s="43">
        <v>32</v>
      </c>
      <c r="U33" s="43">
        <v>44</v>
      </c>
      <c r="V33" s="68" t="s">
        <v>148</v>
      </c>
      <c r="W33" s="92">
        <v>1.5682870370370371E-2</v>
      </c>
      <c r="X33" s="92">
        <f t="shared" si="11"/>
        <v>3.1365740740740742E-3</v>
      </c>
      <c r="Y33" s="152"/>
      <c r="Z33" s="43">
        <v>32</v>
      </c>
      <c r="AA33" s="43">
        <v>44</v>
      </c>
      <c r="AB33" s="42" t="s">
        <v>148</v>
      </c>
      <c r="AC33" s="121">
        <v>0.60929999999999995</v>
      </c>
      <c r="AD33" s="176">
        <v>27190</v>
      </c>
      <c r="AG33" s="173"/>
      <c r="AK33" s="109"/>
      <c r="AL33" s="70"/>
      <c r="AM33" s="109"/>
      <c r="AN33" s="174"/>
    </row>
    <row r="34" spans="1:40" ht="18" customHeight="1" x14ac:dyDescent="0.2">
      <c r="A34" s="43">
        <f t="shared" si="0"/>
        <v>33</v>
      </c>
      <c r="B34" s="43">
        <f t="shared" si="1"/>
        <v>24</v>
      </c>
      <c r="C34" s="72" t="s">
        <v>393</v>
      </c>
      <c r="D34" s="190">
        <f t="shared" si="2"/>
        <v>1.2847222222222222E-2</v>
      </c>
      <c r="E34" s="190">
        <v>4.1666666666666666E-3</v>
      </c>
      <c r="F34" s="95">
        <f t="shared" si="3"/>
        <v>4.1666666666666657E-3</v>
      </c>
      <c r="G34" s="66">
        <v>1.8414351851851852E-2</v>
      </c>
      <c r="H34" s="95">
        <f t="shared" si="4"/>
        <v>1.4247685185185186E-2</v>
      </c>
      <c r="I34" s="95">
        <f t="shared" si="5"/>
        <v>1.8414351851851852E-2</v>
      </c>
      <c r="J34" s="95">
        <f t="shared" si="6"/>
        <v>1.4004629629629645E-3</v>
      </c>
      <c r="K34" s="59">
        <f t="shared" si="7"/>
        <v>15.79</v>
      </c>
      <c r="L34" s="190"/>
      <c r="N34" s="92">
        <f t="shared" si="8"/>
        <v>1.4247685185185186E-2</v>
      </c>
      <c r="O34" s="43">
        <f t="shared" si="9"/>
        <v>35</v>
      </c>
      <c r="P34" s="121">
        <v>0.7107</v>
      </c>
      <c r="Q34" s="43">
        <f t="shared" si="10"/>
        <v>18</v>
      </c>
      <c r="S34" s="177"/>
      <c r="T34" s="43">
        <v>33</v>
      </c>
      <c r="U34" s="43">
        <v>36</v>
      </c>
      <c r="V34" s="68" t="s">
        <v>412</v>
      </c>
      <c r="W34" s="92">
        <v>1.5706018518518518E-2</v>
      </c>
      <c r="X34" s="92">
        <f t="shared" si="11"/>
        <v>3.1412037037037038E-3</v>
      </c>
      <c r="Y34" s="152"/>
      <c r="Z34" s="43">
        <v>33</v>
      </c>
      <c r="AA34" s="43">
        <v>35</v>
      </c>
      <c r="AB34" s="42" t="s">
        <v>417</v>
      </c>
      <c r="AC34" s="121">
        <v>0.60709999999999997</v>
      </c>
      <c r="AD34" s="176">
        <v>30558</v>
      </c>
      <c r="AG34" s="173"/>
      <c r="AK34" s="109"/>
      <c r="AL34" s="70"/>
      <c r="AM34" s="109"/>
      <c r="AN34" s="174"/>
    </row>
    <row r="35" spans="1:40" ht="18" customHeight="1" x14ac:dyDescent="0.2">
      <c r="A35" s="43">
        <f t="shared" si="0"/>
        <v>34</v>
      </c>
      <c r="B35" s="43">
        <f t="shared" si="1"/>
        <v>32</v>
      </c>
      <c r="C35" s="72" t="s">
        <v>148</v>
      </c>
      <c r="D35" s="190">
        <f t="shared" si="2"/>
        <v>1.4004629629629629E-2</v>
      </c>
      <c r="E35" s="190">
        <v>3.0092592592592588E-3</v>
      </c>
      <c r="F35" s="95">
        <f t="shared" si="3"/>
        <v>3.0092592592592584E-3</v>
      </c>
      <c r="G35" s="66">
        <v>1.8692129629629631E-2</v>
      </c>
      <c r="H35" s="95">
        <f t="shared" si="4"/>
        <v>1.5682870370370371E-2</v>
      </c>
      <c r="I35" s="95">
        <f t="shared" si="5"/>
        <v>1.8692129629629631E-2</v>
      </c>
      <c r="J35" s="95">
        <f t="shared" si="6"/>
        <v>1.6782407407407423E-3</v>
      </c>
      <c r="K35" s="59">
        <f t="shared" si="7"/>
        <v>13.16</v>
      </c>
      <c r="L35" s="190"/>
      <c r="N35" s="92">
        <f t="shared" si="8"/>
        <v>1.5682870370370371E-2</v>
      </c>
      <c r="O35" s="43">
        <f t="shared" si="9"/>
        <v>44</v>
      </c>
      <c r="P35" s="121">
        <v>0.60929999999999995</v>
      </c>
      <c r="Q35" s="43">
        <f t="shared" si="10"/>
        <v>32</v>
      </c>
      <c r="S35" s="177"/>
      <c r="T35" s="43">
        <v>34</v>
      </c>
      <c r="U35" s="43">
        <v>36</v>
      </c>
      <c r="V35" s="68" t="s">
        <v>384</v>
      </c>
      <c r="W35" s="92">
        <v>1.5960648148148147E-2</v>
      </c>
      <c r="X35" s="92">
        <f t="shared" si="11"/>
        <v>3.1921296296296294E-3</v>
      </c>
      <c r="Y35" s="152"/>
      <c r="Z35" s="43">
        <v>34</v>
      </c>
      <c r="AA35" s="43">
        <v>42</v>
      </c>
      <c r="AB35" s="42" t="s">
        <v>410</v>
      </c>
      <c r="AC35" s="121">
        <v>0.59099999999999997</v>
      </c>
      <c r="AD35" s="176">
        <v>27344</v>
      </c>
      <c r="AG35" s="173"/>
      <c r="AK35" s="109"/>
      <c r="AL35" s="70"/>
      <c r="AM35" s="109"/>
      <c r="AN35" s="174"/>
    </row>
    <row r="36" spans="1:40" ht="18" customHeight="1" x14ac:dyDescent="0.2">
      <c r="A36" s="43">
        <f t="shared" si="0"/>
        <v>35</v>
      </c>
      <c r="B36" s="43">
        <f t="shared" si="1"/>
        <v>35</v>
      </c>
      <c r="C36" s="72" t="s">
        <v>413</v>
      </c>
      <c r="D36" s="190">
        <f t="shared" si="2"/>
        <v>1.4525462962962962E-2</v>
      </c>
      <c r="E36" s="190">
        <v>2.488425925925926E-3</v>
      </c>
      <c r="F36" s="95">
        <f t="shared" si="3"/>
        <v>2.4884259259259252E-3</v>
      </c>
      <c r="G36" s="66">
        <v>1.8819444444444448E-2</v>
      </c>
      <c r="H36" s="95">
        <f t="shared" si="4"/>
        <v>1.6331018518518522E-2</v>
      </c>
      <c r="I36" s="95">
        <f t="shared" si="5"/>
        <v>1.8819444444444448E-2</v>
      </c>
      <c r="J36" s="95">
        <f t="shared" si="6"/>
        <v>1.8055555555555602E-3</v>
      </c>
      <c r="K36" s="59">
        <f t="shared" si="7"/>
        <v>10.53</v>
      </c>
      <c r="L36" s="191"/>
      <c r="N36" s="92">
        <f t="shared" si="8"/>
        <v>1.6331018518518522E-2</v>
      </c>
      <c r="O36" s="43">
        <f t="shared" si="9"/>
        <v>33</v>
      </c>
      <c r="P36" s="121">
        <v>0.61599999999999999</v>
      </c>
      <c r="Q36" s="43">
        <f t="shared" si="10"/>
        <v>31</v>
      </c>
      <c r="S36" s="177"/>
      <c r="T36" s="43">
        <v>35</v>
      </c>
      <c r="U36" s="43">
        <v>33</v>
      </c>
      <c r="V36" s="68" t="s">
        <v>413</v>
      </c>
      <c r="W36" s="92">
        <v>1.6331018518518522E-2</v>
      </c>
      <c r="X36" s="92">
        <f t="shared" si="11"/>
        <v>3.2662037037037043E-3</v>
      </c>
      <c r="Y36" s="152"/>
      <c r="Z36" s="43">
        <v>35</v>
      </c>
      <c r="AA36" s="43">
        <v>36</v>
      </c>
      <c r="AB36" s="42" t="s">
        <v>412</v>
      </c>
      <c r="AC36" s="121">
        <v>0.57730000000000004</v>
      </c>
      <c r="AD36" s="176">
        <v>31448</v>
      </c>
      <c r="AG36" s="173"/>
      <c r="AK36" s="109"/>
      <c r="AL36" s="70"/>
      <c r="AM36" s="109"/>
      <c r="AN36" s="174"/>
    </row>
    <row r="37" spans="1:40" ht="18" customHeight="1" x14ac:dyDescent="0.2">
      <c r="A37" s="43">
        <f t="shared" si="0"/>
        <v>36</v>
      </c>
      <c r="B37" s="43">
        <f t="shared" si="1"/>
        <v>22</v>
      </c>
      <c r="C37" s="72" t="s">
        <v>246</v>
      </c>
      <c r="D37" s="190">
        <f t="shared" si="2"/>
        <v>1.1921296296296294E-2</v>
      </c>
      <c r="E37" s="190">
        <v>5.0925925925925921E-3</v>
      </c>
      <c r="F37" s="95">
        <f t="shared" si="3"/>
        <v>5.092592592592593E-3</v>
      </c>
      <c r="G37" s="66">
        <v>1.9120370370370371E-2</v>
      </c>
      <c r="H37" s="95">
        <f t="shared" si="4"/>
        <v>1.4027777777777778E-2</v>
      </c>
      <c r="I37" s="95">
        <f t="shared" si="5"/>
        <v>1.9120370370370371E-2</v>
      </c>
      <c r="J37" s="95">
        <f t="shared" si="6"/>
        <v>2.1064814814814835E-3</v>
      </c>
      <c r="K37" s="59">
        <f t="shared" si="7"/>
        <v>7.89</v>
      </c>
      <c r="L37" s="191"/>
      <c r="N37" s="92">
        <f t="shared" si="8"/>
        <v>1.4027777777777778E-2</v>
      </c>
      <c r="O37" s="43">
        <f t="shared" si="9"/>
        <v>42</v>
      </c>
      <c r="P37" s="121">
        <v>0.67090000000000005</v>
      </c>
      <c r="Q37" s="43">
        <f t="shared" si="10"/>
        <v>25</v>
      </c>
      <c r="S37" s="177"/>
      <c r="T37" s="43">
        <v>36</v>
      </c>
      <c r="U37" s="43">
        <v>37</v>
      </c>
      <c r="V37" s="72" t="s">
        <v>411</v>
      </c>
      <c r="W37" s="92">
        <v>1.6550925925925927E-2</v>
      </c>
      <c r="X37" s="92">
        <f t="shared" si="11"/>
        <v>3.3101851851851855E-3</v>
      </c>
      <c r="Y37" s="152"/>
      <c r="Z37" s="43">
        <v>36</v>
      </c>
      <c r="AA37" s="43">
        <v>36</v>
      </c>
      <c r="AB37" s="42" t="s">
        <v>384</v>
      </c>
      <c r="AC37" s="121">
        <v>0.56420000000000003</v>
      </c>
      <c r="AD37" s="176">
        <v>28179</v>
      </c>
      <c r="AG37" s="173"/>
      <c r="AK37" s="109"/>
      <c r="AL37" s="70"/>
      <c r="AM37" s="109"/>
      <c r="AN37" s="174"/>
    </row>
    <row r="38" spans="1:40" ht="18" customHeight="1" x14ac:dyDescent="0.2">
      <c r="A38" s="43">
        <f t="shared" si="0"/>
        <v>37</v>
      </c>
      <c r="B38" s="43">
        <f t="shared" si="1"/>
        <v>34</v>
      </c>
      <c r="C38" s="72" t="s">
        <v>384</v>
      </c>
      <c r="D38" s="190">
        <f t="shared" si="2"/>
        <v>1.261574074074074E-2</v>
      </c>
      <c r="E38" s="190">
        <v>4.3981481481481484E-3</v>
      </c>
      <c r="F38" s="95">
        <f t="shared" si="3"/>
        <v>4.3981481481481476E-3</v>
      </c>
      <c r="G38" s="66">
        <v>2.0358796296296295E-2</v>
      </c>
      <c r="H38" s="95">
        <f t="shared" si="4"/>
        <v>1.5960648148148147E-2</v>
      </c>
      <c r="I38" s="95">
        <f t="shared" si="5"/>
        <v>2.0358796296296295E-2</v>
      </c>
      <c r="J38" s="95">
        <f t="shared" si="6"/>
        <v>3.3449074074074076E-3</v>
      </c>
      <c r="K38" s="59">
        <f t="shared" si="7"/>
        <v>5.26</v>
      </c>
      <c r="L38" s="190"/>
      <c r="N38" s="92">
        <f t="shared" si="8"/>
        <v>1.5960648148148147E-2</v>
      </c>
      <c r="O38" s="43">
        <f t="shared" si="9"/>
        <v>36</v>
      </c>
      <c r="P38" s="121">
        <v>0.56420000000000003</v>
      </c>
      <c r="Q38" s="43">
        <f t="shared" si="10"/>
        <v>36</v>
      </c>
      <c r="S38" s="177"/>
      <c r="T38" s="43">
        <v>37</v>
      </c>
      <c r="U38" s="43">
        <v>41</v>
      </c>
      <c r="V38" s="68" t="s">
        <v>416</v>
      </c>
      <c r="W38" s="92">
        <v>1.7083333333333332E-2</v>
      </c>
      <c r="X38" s="92">
        <f t="shared" si="11"/>
        <v>3.4166666666666664E-3</v>
      </c>
      <c r="Y38" s="152"/>
      <c r="Z38" s="43">
        <v>37</v>
      </c>
      <c r="AA38" s="43">
        <v>37</v>
      </c>
      <c r="AB38" s="42" t="s">
        <v>411</v>
      </c>
      <c r="AC38" s="121">
        <v>0.54790000000000005</v>
      </c>
      <c r="AD38" s="176">
        <v>30234</v>
      </c>
      <c r="AG38" s="173"/>
      <c r="AK38" s="109"/>
      <c r="AL38" s="70"/>
      <c r="AM38" s="109"/>
      <c r="AN38" s="174"/>
    </row>
    <row r="39" spans="1:40" ht="18" customHeight="1" x14ac:dyDescent="0.2">
      <c r="A39" s="43">
        <f t="shared" si="0"/>
        <v>38</v>
      </c>
      <c r="B39" s="43">
        <f t="shared" si="1"/>
        <v>37</v>
      </c>
      <c r="C39" s="72" t="s">
        <v>416</v>
      </c>
      <c r="D39" s="190">
        <f t="shared" si="2"/>
        <v>1.3541666666666665E-2</v>
      </c>
      <c r="E39" s="190">
        <v>3.472222222222222E-3</v>
      </c>
      <c r="F39" s="95">
        <f t="shared" si="3"/>
        <v>3.472222222222222E-3</v>
      </c>
      <c r="G39" s="66">
        <v>2.0555555555555556E-2</v>
      </c>
      <c r="H39" s="95">
        <f t="shared" si="4"/>
        <v>1.7083333333333332E-2</v>
      </c>
      <c r="I39" s="95">
        <f t="shared" si="5"/>
        <v>2.0555555555555556E-2</v>
      </c>
      <c r="J39" s="95">
        <f t="shared" si="6"/>
        <v>3.5416666666666669E-3</v>
      </c>
      <c r="K39" s="59">
        <f t="shared" si="7"/>
        <v>2.63</v>
      </c>
      <c r="L39" s="190"/>
      <c r="N39" s="92">
        <f t="shared" si="8"/>
        <v>1.7083333333333332E-2</v>
      </c>
      <c r="O39" s="43">
        <f t="shared" si="9"/>
        <v>41</v>
      </c>
      <c r="P39" s="121">
        <v>0.54679999999999995</v>
      </c>
      <c r="Q39" s="43">
        <f t="shared" si="10"/>
        <v>38</v>
      </c>
      <c r="S39" s="177"/>
      <c r="T39" s="43">
        <v>38</v>
      </c>
      <c r="U39" s="43">
        <v>42</v>
      </c>
      <c r="V39" s="68" t="s">
        <v>410</v>
      </c>
      <c r="W39" s="92">
        <v>1.7916666666666668E-2</v>
      </c>
      <c r="X39" s="92">
        <f t="shared" si="11"/>
        <v>3.5833333333333333E-3</v>
      </c>
      <c r="Y39" s="152"/>
      <c r="Z39" s="43">
        <v>38</v>
      </c>
      <c r="AA39" s="43">
        <v>41</v>
      </c>
      <c r="AB39" s="72" t="s">
        <v>416</v>
      </c>
      <c r="AC39" s="121">
        <v>0.54679999999999995</v>
      </c>
      <c r="AD39" s="176">
        <v>28398</v>
      </c>
      <c r="AG39" s="173"/>
      <c r="AK39" s="109"/>
      <c r="AM39" s="109"/>
      <c r="AN39" s="174"/>
    </row>
    <row r="40" spans="1:40" ht="18" customHeight="1" x14ac:dyDescent="0.2">
      <c r="L40" s="192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K40" s="109"/>
    </row>
    <row r="41" spans="1:40" ht="18" customHeight="1" x14ac:dyDescent="0.2">
      <c r="A41" s="43" t="s">
        <v>25</v>
      </c>
      <c r="B41" s="60">
        <v>38</v>
      </c>
      <c r="L41" s="192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</row>
    <row r="42" spans="1:40" ht="18" customHeight="1" x14ac:dyDescent="0.2">
      <c r="L42" s="192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</row>
    <row r="43" spans="1:40" ht="18" customHeight="1" x14ac:dyDescent="0.2">
      <c r="A43" s="43" t="s">
        <v>15</v>
      </c>
      <c r="B43" s="43">
        <v>1</v>
      </c>
      <c r="C43" s="42" t="s">
        <v>379</v>
      </c>
      <c r="K43" s="59">
        <f t="shared" ref="K43:K46" si="12">ROUND(100-((100/$B$41)*(ROUNDUP($B$41*0.4,0)-1)),2)</f>
        <v>60.53</v>
      </c>
      <c r="L43" s="74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</row>
    <row r="44" spans="1:40" ht="18" customHeight="1" x14ac:dyDescent="0.2">
      <c r="B44" s="43">
        <v>2</v>
      </c>
      <c r="C44" s="42" t="s">
        <v>387</v>
      </c>
      <c r="D44" s="112"/>
      <c r="K44" s="59">
        <f t="shared" si="12"/>
        <v>60.53</v>
      </c>
      <c r="L44" s="74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</row>
    <row r="45" spans="1:40" ht="18" customHeight="1" x14ac:dyDescent="0.2">
      <c r="B45" s="43">
        <v>3</v>
      </c>
      <c r="C45" s="42" t="s">
        <v>380</v>
      </c>
      <c r="D45" s="112"/>
      <c r="K45" s="59">
        <f t="shared" si="12"/>
        <v>60.53</v>
      </c>
      <c r="L45" s="74"/>
      <c r="AD45" s="65"/>
    </row>
    <row r="46" spans="1:40" ht="18" customHeight="1" x14ac:dyDescent="0.2">
      <c r="B46" s="43">
        <v>4</v>
      </c>
      <c r="C46" s="42" t="s">
        <v>251</v>
      </c>
      <c r="D46" s="112"/>
      <c r="K46" s="59">
        <f t="shared" si="12"/>
        <v>60.53</v>
      </c>
      <c r="L46" s="74"/>
      <c r="AD46" s="65"/>
    </row>
    <row r="47" spans="1:40" ht="13.5" customHeight="1" x14ac:dyDescent="0.2">
      <c r="L47" s="192"/>
      <c r="AD47" s="65"/>
    </row>
    <row r="48" spans="1:40" ht="18" customHeight="1" x14ac:dyDescent="0.2">
      <c r="J48" t="s">
        <v>28</v>
      </c>
      <c r="K48" s="59">
        <f>SUM(K2:K46)</f>
        <v>2200.0200000000009</v>
      </c>
      <c r="L48" s="116"/>
      <c r="AD48" s="65"/>
    </row>
    <row r="49" spans="11:30" x14ac:dyDescent="0.2">
      <c r="K49" s="157"/>
      <c r="L49" s="116"/>
      <c r="AD49" s="65"/>
    </row>
    <row r="50" spans="11:30" x14ac:dyDescent="0.2">
      <c r="L50" s="192"/>
    </row>
    <row r="51" spans="11:30" x14ac:dyDescent="0.2">
      <c r="L51" s="192"/>
    </row>
    <row r="52" spans="11:30" x14ac:dyDescent="0.2">
      <c r="L52" s="192"/>
    </row>
    <row r="53" spans="11:30" x14ac:dyDescent="0.2">
      <c r="L53" s="192"/>
    </row>
    <row r="54" spans="11:30" x14ac:dyDescent="0.2">
      <c r="L54" s="192"/>
    </row>
    <row r="55" spans="11:30" x14ac:dyDescent="0.2">
      <c r="L55" s="192"/>
    </row>
    <row r="56" spans="11:30" x14ac:dyDescent="0.2">
      <c r="L56" s="192"/>
    </row>
    <row r="57" spans="11:30" x14ac:dyDescent="0.2">
      <c r="L57" s="192"/>
    </row>
    <row r="58" spans="11:30" x14ac:dyDescent="0.2">
      <c r="L58" s="192"/>
    </row>
    <row r="59" spans="11:30" x14ac:dyDescent="0.2">
      <c r="L59" s="192"/>
    </row>
    <row r="60" spans="11:30" x14ac:dyDescent="0.2">
      <c r="L60" s="192"/>
    </row>
    <row r="61" spans="11:30" x14ac:dyDescent="0.2">
      <c r="L61" s="192"/>
    </row>
    <row r="62" spans="11:30" x14ac:dyDescent="0.2">
      <c r="L62" s="192"/>
    </row>
    <row r="63" spans="11:30" x14ac:dyDescent="0.2">
      <c r="L63" s="192"/>
    </row>
    <row r="64" spans="11:30" x14ac:dyDescent="0.2">
      <c r="L64" s="192"/>
    </row>
    <row r="65" spans="12:12" x14ac:dyDescent="0.2">
      <c r="L65" s="192"/>
    </row>
  </sheetData>
  <sheetProtection algorithmName="SHA-512" hashValue="I1MRKPPJSjLLa4AOBd5rNGR5tXyHBuRGcvNnUcZPpt5gAfuZCYSpqJ3bXPmoA/lapZKN2+XdySok+Uu4g9LhMw==" saltValue="D+xcvAKsq+7YmQtxQEwzVg==" spinCount="100000" sheet="1" objects="1" scenarios="1"/>
  <sortState xmlns:xlrd2="http://schemas.microsoft.com/office/spreadsheetml/2017/richdata2" ref="AA2:AC39">
    <sortCondition descending="1" ref="AC2:AC39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N39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8" width="10.85546875" customWidth="1"/>
    <col min="9" max="9" width="7.7109375" bestFit="1" customWidth="1"/>
    <col min="10" max="10" width="7.140625" hidden="1" customWidth="1"/>
    <col min="11" max="11" width="7.140625" bestFit="1" customWidth="1"/>
    <col min="12" max="12" width="8.7109375" customWidth="1"/>
    <col min="13" max="13" width="24.42578125" bestFit="1" customWidth="1"/>
    <col min="14" max="14" width="9.28515625" customWidth="1"/>
    <col min="16" max="16" width="11.7109375" bestFit="1" customWidth="1"/>
  </cols>
  <sheetData>
    <row r="1" spans="1:14" ht="38.25" x14ac:dyDescent="0.2">
      <c r="A1" s="165" t="s">
        <v>5</v>
      </c>
      <c r="B1" s="165" t="s">
        <v>6</v>
      </c>
      <c r="C1" s="165" t="s">
        <v>7</v>
      </c>
      <c r="D1" s="165" t="s">
        <v>255</v>
      </c>
      <c r="E1" s="165" t="s">
        <v>8</v>
      </c>
      <c r="F1" s="165" t="s">
        <v>19</v>
      </c>
      <c r="G1" s="165" t="s">
        <v>120</v>
      </c>
      <c r="H1" s="165" t="s">
        <v>178</v>
      </c>
      <c r="I1" s="165" t="s">
        <v>9</v>
      </c>
      <c r="J1" s="132">
        <v>1.8055555555555557E-2</v>
      </c>
      <c r="L1" s="159" t="s">
        <v>6</v>
      </c>
      <c r="M1" s="159" t="s">
        <v>7</v>
      </c>
      <c r="N1" s="159" t="s">
        <v>19</v>
      </c>
    </row>
    <row r="2" spans="1:14" ht="16.5" customHeight="1" x14ac:dyDescent="0.2">
      <c r="A2" s="43">
        <f t="shared" ref="A2:A29" si="0">RANK(G2,$G$2:$G$29,1)</f>
        <v>1</v>
      </c>
      <c r="B2" s="43">
        <f t="shared" ref="B2:B29" si="1">RANK(F2,$F$2:$F$39,1)</f>
        <v>15</v>
      </c>
      <c r="C2" s="42" t="s">
        <v>46</v>
      </c>
      <c r="D2" s="96">
        <v>1.545138888888889E-2</v>
      </c>
      <c r="E2" s="96">
        <f t="shared" ref="E2:E28" si="2">$J$1-D2</f>
        <v>2.6041666666666678E-3</v>
      </c>
      <c r="F2" s="96">
        <f>G2-E2</f>
        <v>1.5358796296296294E-2</v>
      </c>
      <c r="G2" s="96">
        <v>1.7962962962962962E-2</v>
      </c>
      <c r="H2" s="153">
        <f t="shared" ref="H2:H28" si="3">IF(F2&gt;D2,F2-D2,D2-F2)</f>
        <v>9.2592592592595502E-5</v>
      </c>
      <c r="I2" s="59">
        <f t="shared" ref="I2:I28" si="4">ROUND(100-((100/$B$31)*(A2-1)),2)</f>
        <v>100</v>
      </c>
      <c r="K2" s="70"/>
      <c r="L2" s="43">
        <v>1</v>
      </c>
      <c r="M2" s="42" t="s">
        <v>48</v>
      </c>
      <c r="N2" s="96">
        <v>1.3483796296296298E-2</v>
      </c>
    </row>
    <row r="3" spans="1:14" ht="16.5" customHeight="1" x14ac:dyDescent="0.2">
      <c r="A3" s="43">
        <f t="shared" si="0"/>
        <v>2</v>
      </c>
      <c r="B3" s="43">
        <f t="shared" si="1"/>
        <v>1</v>
      </c>
      <c r="C3" s="42" t="s">
        <v>48</v>
      </c>
      <c r="D3" s="96">
        <v>1.3483796296296298E-2</v>
      </c>
      <c r="E3" s="96">
        <f t="shared" si="2"/>
        <v>4.5717592592592598E-3</v>
      </c>
      <c r="F3" s="96">
        <f t="shared" ref="F3:F28" si="5">G3-E3</f>
        <v>1.3483796296296298E-2</v>
      </c>
      <c r="G3" s="96">
        <v>1.8055555555555557E-2</v>
      </c>
      <c r="H3" s="153">
        <f t="shared" si="3"/>
        <v>0</v>
      </c>
      <c r="I3" s="59">
        <f t="shared" si="4"/>
        <v>96.43</v>
      </c>
      <c r="K3" s="70"/>
      <c r="L3" s="43">
        <v>2</v>
      </c>
      <c r="M3" s="42" t="s">
        <v>60</v>
      </c>
      <c r="N3" s="96">
        <v>1.3888888888888886E-2</v>
      </c>
    </row>
    <row r="4" spans="1:14" ht="16.5" customHeight="1" x14ac:dyDescent="0.2">
      <c r="A4" s="43">
        <f t="shared" si="0"/>
        <v>3</v>
      </c>
      <c r="B4" s="43">
        <f t="shared" si="1"/>
        <v>5</v>
      </c>
      <c r="C4" s="42" t="s">
        <v>347</v>
      </c>
      <c r="D4" s="96">
        <v>1.4409722222222221E-2</v>
      </c>
      <c r="E4" s="96">
        <f t="shared" si="2"/>
        <v>3.645833333333336E-3</v>
      </c>
      <c r="F4" s="96">
        <f t="shared" si="5"/>
        <v>1.4456018518518516E-2</v>
      </c>
      <c r="G4" s="96">
        <v>1.8101851851851852E-2</v>
      </c>
      <c r="H4" s="153">
        <f t="shared" si="3"/>
        <v>4.6296296296294281E-5</v>
      </c>
      <c r="I4" s="59">
        <f t="shared" si="4"/>
        <v>92.86</v>
      </c>
      <c r="K4" s="70"/>
      <c r="L4" s="43">
        <v>3</v>
      </c>
      <c r="M4" s="42" t="s">
        <v>435</v>
      </c>
      <c r="N4" s="96">
        <v>1.3923611111111109E-2</v>
      </c>
    </row>
    <row r="5" spans="1:14" ht="16.5" customHeight="1" x14ac:dyDescent="0.2">
      <c r="A5" s="43">
        <f t="shared" si="0"/>
        <v>4</v>
      </c>
      <c r="B5" s="43">
        <f t="shared" si="1"/>
        <v>2</v>
      </c>
      <c r="C5" s="42" t="s">
        <v>60</v>
      </c>
      <c r="D5" s="96">
        <v>1.3773148148148147E-2</v>
      </c>
      <c r="E5" s="96">
        <f t="shared" si="2"/>
        <v>4.2824074074074101E-3</v>
      </c>
      <c r="F5" s="96">
        <f t="shared" si="5"/>
        <v>1.3888888888888886E-2</v>
      </c>
      <c r="G5" s="96">
        <v>1.8171296296296297E-2</v>
      </c>
      <c r="H5" s="96">
        <f t="shared" si="3"/>
        <v>1.1574074074073917E-4</v>
      </c>
      <c r="I5" s="59">
        <f t="shared" si="4"/>
        <v>89.29</v>
      </c>
      <c r="K5" s="70"/>
      <c r="L5" s="43">
        <v>4</v>
      </c>
      <c r="M5" s="42" t="s">
        <v>45</v>
      </c>
      <c r="N5" s="96">
        <v>1.4039351851851848E-2</v>
      </c>
    </row>
    <row r="6" spans="1:14" ht="16.5" customHeight="1" x14ac:dyDescent="0.2">
      <c r="A6" s="43">
        <f t="shared" si="0"/>
        <v>5</v>
      </c>
      <c r="B6" s="43">
        <f t="shared" si="1"/>
        <v>9</v>
      </c>
      <c r="C6" s="42" t="s">
        <v>127</v>
      </c>
      <c r="D6" s="96">
        <v>1.4814814814814814E-2</v>
      </c>
      <c r="E6" s="96">
        <f t="shared" si="2"/>
        <v>3.2407407407407437E-3</v>
      </c>
      <c r="F6" s="96">
        <f t="shared" si="5"/>
        <v>1.49537037037037E-2</v>
      </c>
      <c r="G6" s="96">
        <v>1.8194444444444444E-2</v>
      </c>
      <c r="H6" s="96">
        <f t="shared" si="3"/>
        <v>1.3888888888888631E-4</v>
      </c>
      <c r="I6" s="59">
        <f t="shared" si="4"/>
        <v>85.71</v>
      </c>
      <c r="K6" s="70"/>
      <c r="L6" s="43">
        <v>5</v>
      </c>
      <c r="M6" s="42" t="s">
        <v>347</v>
      </c>
      <c r="N6" s="96">
        <v>1.4456018518518516E-2</v>
      </c>
    </row>
    <row r="7" spans="1:14" ht="16.5" customHeight="1" x14ac:dyDescent="0.2">
      <c r="A7" s="43">
        <f t="shared" si="0"/>
        <v>6</v>
      </c>
      <c r="B7" s="43">
        <f t="shared" si="1"/>
        <v>4</v>
      </c>
      <c r="C7" s="42" t="s">
        <v>45</v>
      </c>
      <c r="D7" s="96">
        <v>1.3888888888888888E-2</v>
      </c>
      <c r="E7" s="96">
        <f t="shared" si="2"/>
        <v>4.1666666666666692E-3</v>
      </c>
      <c r="F7" s="96">
        <f t="shared" si="5"/>
        <v>1.4039351851851848E-2</v>
      </c>
      <c r="G7" s="96">
        <v>1.8206018518518517E-2</v>
      </c>
      <c r="H7" s="96">
        <f t="shared" si="3"/>
        <v>1.5046296296295988E-4</v>
      </c>
      <c r="I7" s="59">
        <f t="shared" si="4"/>
        <v>82.14</v>
      </c>
      <c r="K7" s="70"/>
      <c r="L7" s="43">
        <v>6</v>
      </c>
      <c r="M7" s="42" t="s">
        <v>199</v>
      </c>
      <c r="N7" s="96">
        <v>1.4629629629629628E-2</v>
      </c>
    </row>
    <row r="8" spans="1:14" ht="16.5" customHeight="1" x14ac:dyDescent="0.2">
      <c r="A8" s="43">
        <f t="shared" si="0"/>
        <v>7</v>
      </c>
      <c r="B8" s="43">
        <f t="shared" si="1"/>
        <v>22</v>
      </c>
      <c r="C8" s="42" t="s">
        <v>197</v>
      </c>
      <c r="D8" s="96">
        <v>1.5972222222222224E-2</v>
      </c>
      <c r="E8" s="96">
        <f t="shared" si="2"/>
        <v>2.0833333333333329E-3</v>
      </c>
      <c r="F8" s="96">
        <f t="shared" si="5"/>
        <v>1.6192129629629629E-2</v>
      </c>
      <c r="G8" s="96">
        <v>1.8275462962962962E-2</v>
      </c>
      <c r="H8" s="96">
        <f t="shared" si="3"/>
        <v>2.1990740740740478E-4</v>
      </c>
      <c r="I8" s="59">
        <f t="shared" si="4"/>
        <v>78.569999999999993</v>
      </c>
      <c r="K8" s="70"/>
      <c r="L8" s="43">
        <v>7</v>
      </c>
      <c r="M8" s="42" t="s">
        <v>74</v>
      </c>
      <c r="N8" s="96">
        <v>1.4745370370370367E-2</v>
      </c>
    </row>
    <row r="9" spans="1:14" ht="16.5" customHeight="1" x14ac:dyDescent="0.2">
      <c r="A9" s="43">
        <f t="shared" si="0"/>
        <v>8</v>
      </c>
      <c r="B9" s="43">
        <f t="shared" si="1"/>
        <v>21</v>
      </c>
      <c r="C9" s="42" t="s">
        <v>132</v>
      </c>
      <c r="D9" s="96">
        <v>1.5625E-2</v>
      </c>
      <c r="E9" s="96">
        <f t="shared" si="2"/>
        <v>2.4305555555555573E-3</v>
      </c>
      <c r="F9" s="96">
        <f t="shared" si="5"/>
        <v>1.5891203703703703E-2</v>
      </c>
      <c r="G9" s="96">
        <v>1.832175925925926E-2</v>
      </c>
      <c r="H9" s="96">
        <f t="shared" si="3"/>
        <v>2.6620370370370253E-4</v>
      </c>
      <c r="I9" s="59">
        <f t="shared" si="4"/>
        <v>75</v>
      </c>
      <c r="K9" s="70"/>
      <c r="L9" s="43">
        <v>8</v>
      </c>
      <c r="M9" s="42" t="s">
        <v>436</v>
      </c>
      <c r="N9" s="96">
        <v>1.4745370370370369E-2</v>
      </c>
    </row>
    <row r="10" spans="1:14" ht="16.5" customHeight="1" x14ac:dyDescent="0.2">
      <c r="A10" s="43">
        <f t="shared" si="0"/>
        <v>9</v>
      </c>
      <c r="B10" s="43">
        <f t="shared" si="1"/>
        <v>19</v>
      </c>
      <c r="C10" s="42" t="s">
        <v>321</v>
      </c>
      <c r="D10" s="96">
        <v>1.545138888888889E-2</v>
      </c>
      <c r="E10" s="96">
        <f t="shared" si="2"/>
        <v>2.6041666666666678E-3</v>
      </c>
      <c r="F10" s="96">
        <f t="shared" si="5"/>
        <v>1.5810185185185184E-2</v>
      </c>
      <c r="G10" s="96">
        <v>1.8414351851851852E-2</v>
      </c>
      <c r="H10" s="96">
        <f t="shared" si="3"/>
        <v>3.5879629629629456E-4</v>
      </c>
      <c r="I10" s="59">
        <f t="shared" si="4"/>
        <v>71.430000000000007</v>
      </c>
      <c r="K10" s="70"/>
      <c r="L10" s="43">
        <v>9</v>
      </c>
      <c r="M10" s="42" t="s">
        <v>127</v>
      </c>
      <c r="N10" s="96">
        <v>1.49537037037037E-2</v>
      </c>
    </row>
    <row r="11" spans="1:14" ht="16.5" customHeight="1" x14ac:dyDescent="0.2">
      <c r="A11" s="43">
        <f t="shared" si="0"/>
        <v>10</v>
      </c>
      <c r="B11" s="43">
        <f t="shared" si="1"/>
        <v>13</v>
      </c>
      <c r="C11" s="42" t="s">
        <v>59</v>
      </c>
      <c r="D11" s="96">
        <v>1.4930555555555556E-2</v>
      </c>
      <c r="E11" s="96">
        <f t="shared" si="2"/>
        <v>3.125000000000001E-3</v>
      </c>
      <c r="F11" s="96">
        <f t="shared" si="5"/>
        <v>1.5295138888888888E-2</v>
      </c>
      <c r="G11" s="96">
        <v>1.8420138888888889E-2</v>
      </c>
      <c r="H11" s="96">
        <f t="shared" si="3"/>
        <v>3.6458333333333134E-4</v>
      </c>
      <c r="I11" s="59">
        <f t="shared" si="4"/>
        <v>67.86</v>
      </c>
      <c r="K11" s="70"/>
      <c r="L11" s="43">
        <v>10</v>
      </c>
      <c r="M11" s="42" t="s">
        <v>258</v>
      </c>
      <c r="N11" s="96">
        <v>1.5023148148148145E-2</v>
      </c>
    </row>
    <row r="12" spans="1:14" ht="16.5" customHeight="1" x14ac:dyDescent="0.2">
      <c r="A12" s="43">
        <f t="shared" si="0"/>
        <v>11</v>
      </c>
      <c r="B12" s="43">
        <f t="shared" si="1"/>
        <v>16</v>
      </c>
      <c r="C12" s="42" t="s">
        <v>325</v>
      </c>
      <c r="D12" s="96">
        <v>1.5104166666666667E-2</v>
      </c>
      <c r="E12" s="96">
        <f t="shared" ref="E12:E19" si="6">$J$1-D12</f>
        <v>2.9513888888888905E-3</v>
      </c>
      <c r="F12" s="96">
        <f t="shared" si="5"/>
        <v>1.5474537037037035E-2</v>
      </c>
      <c r="G12" s="96">
        <v>1.8425925925925925E-2</v>
      </c>
      <c r="H12" s="96">
        <f t="shared" ref="H12:H19" si="7">IF(F12&gt;D12,F12-D12,D12-F12)</f>
        <v>3.7037037037036813E-4</v>
      </c>
      <c r="I12" s="59">
        <f t="shared" ref="I12:I19" si="8">ROUND(100-((100/$B$31)*(A12-1)),2)</f>
        <v>64.290000000000006</v>
      </c>
      <c r="K12" s="70"/>
      <c r="L12" s="43">
        <v>11</v>
      </c>
      <c r="M12" s="42" t="s">
        <v>396</v>
      </c>
      <c r="N12" s="96">
        <v>1.5173611111111112E-2</v>
      </c>
    </row>
    <row r="13" spans="1:14" ht="16.5" customHeight="1" x14ac:dyDescent="0.2">
      <c r="A13" s="43">
        <f t="shared" si="0"/>
        <v>12</v>
      </c>
      <c r="B13" s="43">
        <f t="shared" si="1"/>
        <v>14</v>
      </c>
      <c r="C13" s="42" t="s">
        <v>257</v>
      </c>
      <c r="D13" s="96">
        <v>1.4930555555555556E-2</v>
      </c>
      <c r="E13" s="96">
        <f t="shared" si="6"/>
        <v>3.125000000000001E-3</v>
      </c>
      <c r="F13" s="96">
        <f t="shared" si="5"/>
        <v>1.5312499999999998E-2</v>
      </c>
      <c r="G13" s="96">
        <v>1.8437499999999999E-2</v>
      </c>
      <c r="H13" s="96">
        <f t="shared" si="7"/>
        <v>3.819444444444417E-4</v>
      </c>
      <c r="I13" s="59">
        <f t="shared" si="8"/>
        <v>60.71</v>
      </c>
      <c r="K13" s="70"/>
      <c r="L13" s="43">
        <v>12</v>
      </c>
      <c r="M13" s="42" t="s">
        <v>35</v>
      </c>
      <c r="N13" s="96">
        <v>1.5231481481481478E-2</v>
      </c>
    </row>
    <row r="14" spans="1:14" ht="16.5" customHeight="1" x14ac:dyDescent="0.2">
      <c r="A14" s="43">
        <f t="shared" si="0"/>
        <v>13</v>
      </c>
      <c r="B14" s="43">
        <f t="shared" si="1"/>
        <v>10</v>
      </c>
      <c r="C14" s="42" t="s">
        <v>258</v>
      </c>
      <c r="D14" s="96">
        <v>1.4583333333333332E-2</v>
      </c>
      <c r="E14" s="96">
        <f t="shared" si="6"/>
        <v>3.4722222222222255E-3</v>
      </c>
      <c r="F14" s="96">
        <f t="shared" si="5"/>
        <v>1.5023148148148145E-2</v>
      </c>
      <c r="G14" s="96">
        <v>1.849537037037037E-2</v>
      </c>
      <c r="H14" s="96">
        <f t="shared" si="7"/>
        <v>4.3981481481481302E-4</v>
      </c>
      <c r="I14" s="59">
        <f t="shared" si="8"/>
        <v>57.14</v>
      </c>
      <c r="K14" s="70"/>
      <c r="L14" s="43">
        <v>13</v>
      </c>
      <c r="M14" s="42" t="s">
        <v>59</v>
      </c>
      <c r="N14" s="96">
        <v>1.5295138888888888E-2</v>
      </c>
    </row>
    <row r="15" spans="1:14" ht="16.5" customHeight="1" x14ac:dyDescent="0.2">
      <c r="A15" s="43">
        <f t="shared" si="0"/>
        <v>14</v>
      </c>
      <c r="B15" s="43">
        <f t="shared" si="1"/>
        <v>26</v>
      </c>
      <c r="C15" s="42" t="s">
        <v>256</v>
      </c>
      <c r="D15" s="96">
        <v>1.7013888888888887E-2</v>
      </c>
      <c r="E15" s="96">
        <f t="shared" si="6"/>
        <v>1.0416666666666699E-3</v>
      </c>
      <c r="F15" s="96">
        <f t="shared" si="5"/>
        <v>1.7499999999999998E-2</v>
      </c>
      <c r="G15" s="96">
        <v>1.8541666666666668E-2</v>
      </c>
      <c r="H15" s="96">
        <f t="shared" si="7"/>
        <v>4.8611111111111077E-4</v>
      </c>
      <c r="I15" s="59">
        <f t="shared" si="8"/>
        <v>53.57</v>
      </c>
      <c r="K15" s="70"/>
      <c r="L15" s="43">
        <v>14</v>
      </c>
      <c r="M15" s="42" t="s">
        <v>257</v>
      </c>
      <c r="N15" s="96">
        <v>1.5312499999999998E-2</v>
      </c>
    </row>
    <row r="16" spans="1:14" ht="16.5" customHeight="1" x14ac:dyDescent="0.2">
      <c r="A16" s="43">
        <f t="shared" si="0"/>
        <v>15</v>
      </c>
      <c r="B16" s="43">
        <f t="shared" si="1"/>
        <v>8</v>
      </c>
      <c r="C16" s="42" t="s">
        <v>436</v>
      </c>
      <c r="D16" s="96">
        <v>1.4236111111111111E-2</v>
      </c>
      <c r="E16" s="96">
        <f t="shared" si="6"/>
        <v>3.8194444444444465E-3</v>
      </c>
      <c r="F16" s="96">
        <f t="shared" si="5"/>
        <v>1.4745370370370369E-2</v>
      </c>
      <c r="G16" s="96">
        <v>1.8564814814814815E-2</v>
      </c>
      <c r="H16" s="96">
        <f t="shared" si="7"/>
        <v>5.0925925925925791E-4</v>
      </c>
      <c r="I16" s="59">
        <f t="shared" si="8"/>
        <v>50</v>
      </c>
      <c r="K16" s="70"/>
      <c r="L16" s="43">
        <v>15</v>
      </c>
      <c r="M16" s="42" t="s">
        <v>46</v>
      </c>
      <c r="N16" s="96">
        <v>1.5358796296296294E-2</v>
      </c>
    </row>
    <row r="17" spans="1:14" ht="16.5" customHeight="1" x14ac:dyDescent="0.2">
      <c r="A17" s="43">
        <f t="shared" si="0"/>
        <v>16</v>
      </c>
      <c r="B17" s="43">
        <f t="shared" si="1"/>
        <v>3</v>
      </c>
      <c r="C17" s="42" t="s">
        <v>435</v>
      </c>
      <c r="D17" s="96">
        <v>1.3368055555555557E-2</v>
      </c>
      <c r="E17" s="96">
        <f t="shared" si="6"/>
        <v>4.6875000000000007E-3</v>
      </c>
      <c r="F17" s="96">
        <f t="shared" si="5"/>
        <v>1.3923611111111109E-2</v>
      </c>
      <c r="G17" s="96">
        <v>1.861111111111111E-2</v>
      </c>
      <c r="H17" s="96">
        <f t="shared" si="7"/>
        <v>5.5555555555555219E-4</v>
      </c>
      <c r="I17" s="59">
        <f t="shared" si="8"/>
        <v>46.43</v>
      </c>
      <c r="K17" s="70"/>
      <c r="L17" s="43">
        <v>16</v>
      </c>
      <c r="M17" s="42" t="s">
        <v>325</v>
      </c>
      <c r="N17" s="96">
        <v>1.5474537037037035E-2</v>
      </c>
    </row>
    <row r="18" spans="1:14" ht="16.5" customHeight="1" x14ac:dyDescent="0.2">
      <c r="A18" s="43">
        <f t="shared" si="0"/>
        <v>17</v>
      </c>
      <c r="B18" s="43">
        <f t="shared" si="1"/>
        <v>25</v>
      </c>
      <c r="C18" s="42" t="s">
        <v>124</v>
      </c>
      <c r="D18" s="96">
        <v>1.6435185185185188E-2</v>
      </c>
      <c r="E18" s="96">
        <f t="shared" si="6"/>
        <v>1.6203703703703692E-3</v>
      </c>
      <c r="F18" s="96">
        <f t="shared" si="5"/>
        <v>1.7175925925925928E-2</v>
      </c>
      <c r="G18" s="96">
        <v>1.8796296296296297E-2</v>
      </c>
      <c r="H18" s="96">
        <f t="shared" si="7"/>
        <v>7.4074074074073973E-4</v>
      </c>
      <c r="I18" s="59">
        <f t="shared" si="8"/>
        <v>42.86</v>
      </c>
      <c r="K18" s="70"/>
      <c r="L18" s="43">
        <v>17</v>
      </c>
      <c r="M18" s="42" t="s">
        <v>172</v>
      </c>
      <c r="N18" s="96">
        <v>1.5509259259259256E-2</v>
      </c>
    </row>
    <row r="19" spans="1:14" ht="16.5" customHeight="1" x14ac:dyDescent="0.2">
      <c r="A19" s="43">
        <f t="shared" si="0"/>
        <v>18</v>
      </c>
      <c r="B19" s="43">
        <f t="shared" si="1"/>
        <v>20</v>
      </c>
      <c r="C19" s="42" t="s">
        <v>116</v>
      </c>
      <c r="D19" s="96">
        <v>1.5046296296296295E-2</v>
      </c>
      <c r="E19" s="96">
        <f t="shared" si="6"/>
        <v>3.0092592592592619E-3</v>
      </c>
      <c r="F19" s="96">
        <f t="shared" si="5"/>
        <v>1.5856481481481478E-2</v>
      </c>
      <c r="G19" s="96">
        <v>1.8865740740740742E-2</v>
      </c>
      <c r="H19" s="96">
        <f t="shared" si="7"/>
        <v>8.1018518518518289E-4</v>
      </c>
      <c r="I19" s="59">
        <f t="shared" si="8"/>
        <v>39.29</v>
      </c>
      <c r="K19" s="70"/>
      <c r="L19" s="43">
        <v>18</v>
      </c>
      <c r="M19" s="42" t="s">
        <v>97</v>
      </c>
      <c r="N19" s="96">
        <v>1.5775462962962963E-2</v>
      </c>
    </row>
    <row r="20" spans="1:14" ht="16.5" customHeight="1" x14ac:dyDescent="0.2">
      <c r="A20" s="43">
        <f t="shared" si="0"/>
        <v>19</v>
      </c>
      <c r="B20" s="43">
        <f t="shared" si="1"/>
        <v>18</v>
      </c>
      <c r="C20" s="42" t="s">
        <v>97</v>
      </c>
      <c r="D20" s="96">
        <v>1.4930555555555556E-2</v>
      </c>
      <c r="E20" s="96">
        <f t="shared" si="2"/>
        <v>3.125000000000001E-3</v>
      </c>
      <c r="F20" s="96">
        <f t="shared" si="5"/>
        <v>1.5775462962962963E-2</v>
      </c>
      <c r="G20" s="96">
        <v>1.8900462962962963E-2</v>
      </c>
      <c r="H20" s="96">
        <f t="shared" si="3"/>
        <v>8.4490740740740707E-4</v>
      </c>
      <c r="I20" s="59">
        <f t="shared" si="4"/>
        <v>35.71</v>
      </c>
      <c r="K20" s="70"/>
      <c r="L20" s="43">
        <v>19</v>
      </c>
      <c r="M20" s="42" t="s">
        <v>321</v>
      </c>
      <c r="N20" s="96">
        <v>1.5810185185185184E-2</v>
      </c>
    </row>
    <row r="21" spans="1:14" ht="16.5" customHeight="1" x14ac:dyDescent="0.2">
      <c r="A21" s="43">
        <f t="shared" si="0"/>
        <v>20</v>
      </c>
      <c r="B21" s="43">
        <f t="shared" si="1"/>
        <v>7</v>
      </c>
      <c r="C21" s="42" t="s">
        <v>74</v>
      </c>
      <c r="D21" s="96">
        <v>1.3888888888888888E-2</v>
      </c>
      <c r="E21" s="96">
        <f t="shared" si="2"/>
        <v>4.1666666666666692E-3</v>
      </c>
      <c r="F21" s="96">
        <f t="shared" si="5"/>
        <v>1.4745370370370367E-2</v>
      </c>
      <c r="G21" s="96">
        <v>1.8912037037037036E-2</v>
      </c>
      <c r="H21" s="96">
        <f t="shared" si="3"/>
        <v>8.564814814814789E-4</v>
      </c>
      <c r="I21" s="59">
        <f t="shared" si="4"/>
        <v>32.14</v>
      </c>
      <c r="K21" s="70"/>
      <c r="L21" s="43">
        <v>20</v>
      </c>
      <c r="M21" s="42" t="s">
        <v>116</v>
      </c>
      <c r="N21" s="96">
        <v>1.5856481481481478E-2</v>
      </c>
    </row>
    <row r="22" spans="1:14" ht="16.5" customHeight="1" x14ac:dyDescent="0.2">
      <c r="A22" s="43">
        <f t="shared" si="0"/>
        <v>21</v>
      </c>
      <c r="B22" s="43">
        <f t="shared" si="1"/>
        <v>12</v>
      </c>
      <c r="C22" s="42" t="s">
        <v>35</v>
      </c>
      <c r="D22" s="96">
        <v>1.4351851851851852E-2</v>
      </c>
      <c r="E22" s="96">
        <f t="shared" si="2"/>
        <v>3.7037037037037056E-3</v>
      </c>
      <c r="F22" s="96">
        <f t="shared" si="5"/>
        <v>1.5231481481481478E-2</v>
      </c>
      <c r="G22" s="96">
        <v>1.8935185185185183E-2</v>
      </c>
      <c r="H22" s="96">
        <f t="shared" si="3"/>
        <v>8.7962962962962604E-4</v>
      </c>
      <c r="I22" s="59">
        <f t="shared" si="4"/>
        <v>28.57</v>
      </c>
      <c r="K22" s="70"/>
      <c r="L22" s="43">
        <v>21</v>
      </c>
      <c r="M22" s="42" t="s">
        <v>132</v>
      </c>
      <c r="N22" s="96">
        <v>1.5891203703703703E-2</v>
      </c>
    </row>
    <row r="23" spans="1:14" ht="16.5" customHeight="1" x14ac:dyDescent="0.2">
      <c r="A23" s="43">
        <f t="shared" si="0"/>
        <v>22</v>
      </c>
      <c r="B23" s="43">
        <f t="shared" si="1"/>
        <v>17</v>
      </c>
      <c r="C23" s="42" t="s">
        <v>172</v>
      </c>
      <c r="D23" s="96">
        <v>1.4583333333333332E-2</v>
      </c>
      <c r="E23" s="96">
        <f t="shared" si="2"/>
        <v>3.4722222222222255E-3</v>
      </c>
      <c r="F23" s="96">
        <f t="shared" si="5"/>
        <v>1.5509259259259256E-2</v>
      </c>
      <c r="G23" s="96">
        <v>1.8981481481481481E-2</v>
      </c>
      <c r="H23" s="96">
        <f t="shared" si="3"/>
        <v>9.2592592592592379E-4</v>
      </c>
      <c r="I23" s="59">
        <f t="shared" si="4"/>
        <v>25</v>
      </c>
      <c r="K23" s="70"/>
      <c r="L23" s="43">
        <v>22</v>
      </c>
      <c r="M23" s="42" t="s">
        <v>197</v>
      </c>
      <c r="N23" s="96">
        <v>1.6192129629629629E-2</v>
      </c>
    </row>
    <row r="24" spans="1:14" ht="16.5" customHeight="1" x14ac:dyDescent="0.2">
      <c r="A24" s="43">
        <f t="shared" si="0"/>
        <v>23</v>
      </c>
      <c r="B24" s="43">
        <f t="shared" si="1"/>
        <v>11</v>
      </c>
      <c r="C24" s="42" t="s">
        <v>396</v>
      </c>
      <c r="D24" s="96">
        <v>1.4236111111111111E-2</v>
      </c>
      <c r="E24" s="96">
        <f t="shared" si="2"/>
        <v>3.8194444444444465E-3</v>
      </c>
      <c r="F24" s="96">
        <f t="shared" si="5"/>
        <v>1.5173611111111112E-2</v>
      </c>
      <c r="G24" s="96">
        <v>1.8993055555555558E-2</v>
      </c>
      <c r="H24" s="96">
        <f t="shared" si="3"/>
        <v>9.3750000000000083E-4</v>
      </c>
      <c r="I24" s="59">
        <f t="shared" si="4"/>
        <v>21.43</v>
      </c>
      <c r="K24" s="70"/>
      <c r="L24" s="43">
        <v>23</v>
      </c>
      <c r="M24" s="42" t="s">
        <v>327</v>
      </c>
      <c r="N24" s="96">
        <v>1.65162037037037E-2</v>
      </c>
    </row>
    <row r="25" spans="1:14" ht="16.5" customHeight="1" x14ac:dyDescent="0.2">
      <c r="A25" s="43">
        <f t="shared" si="0"/>
        <v>24</v>
      </c>
      <c r="B25" s="43">
        <f t="shared" si="1"/>
        <v>28</v>
      </c>
      <c r="C25" s="42" t="s">
        <v>362</v>
      </c>
      <c r="D25" s="96">
        <v>1.8055555555555557E-2</v>
      </c>
      <c r="E25" s="96">
        <f t="shared" si="2"/>
        <v>0</v>
      </c>
      <c r="F25" s="96">
        <f t="shared" si="5"/>
        <v>1.9120370370370371E-2</v>
      </c>
      <c r="G25" s="96">
        <v>1.9120370370370371E-2</v>
      </c>
      <c r="H25" s="96">
        <f t="shared" si="3"/>
        <v>1.0648148148148136E-3</v>
      </c>
      <c r="I25" s="59">
        <f t="shared" si="4"/>
        <v>17.86</v>
      </c>
      <c r="K25" s="70"/>
      <c r="L25" s="43">
        <v>24</v>
      </c>
      <c r="M25" s="42" t="s">
        <v>90</v>
      </c>
      <c r="N25" s="96">
        <v>1.7037037037037038E-2</v>
      </c>
    </row>
    <row r="26" spans="1:14" ht="16.5" customHeight="1" x14ac:dyDescent="0.2">
      <c r="A26" s="43">
        <f t="shared" si="0"/>
        <v>25</v>
      </c>
      <c r="B26" s="43">
        <f t="shared" si="1"/>
        <v>27</v>
      </c>
      <c r="C26" s="42" t="s">
        <v>439</v>
      </c>
      <c r="D26" s="96">
        <v>1.7013888888888887E-2</v>
      </c>
      <c r="E26" s="96">
        <f t="shared" si="2"/>
        <v>1.0416666666666699E-3</v>
      </c>
      <c r="F26" s="96">
        <f t="shared" si="5"/>
        <v>1.8148148148148146E-2</v>
      </c>
      <c r="G26" s="96">
        <v>1.9189814814814816E-2</v>
      </c>
      <c r="H26" s="96">
        <f t="shared" si="3"/>
        <v>1.1342592592592585E-3</v>
      </c>
      <c r="I26" s="59">
        <f t="shared" si="4"/>
        <v>14.29</v>
      </c>
      <c r="K26" s="70"/>
      <c r="L26" s="43">
        <v>25</v>
      </c>
      <c r="M26" s="42" t="s">
        <v>124</v>
      </c>
      <c r="N26" s="96">
        <v>1.7175925925925928E-2</v>
      </c>
    </row>
    <row r="27" spans="1:14" ht="16.5" customHeight="1" x14ac:dyDescent="0.2">
      <c r="A27" s="43">
        <f t="shared" ref="A27" si="9">RANK(G27,$G$2:$G$29,1)</f>
        <v>26</v>
      </c>
      <c r="B27" s="43">
        <f t="shared" ref="B27" si="10">RANK(F27,$F$2:$F$39,1)</f>
        <v>6</v>
      </c>
      <c r="C27" s="42" t="s">
        <v>199</v>
      </c>
      <c r="D27" s="96">
        <v>1.3368055555555557E-2</v>
      </c>
      <c r="E27" s="96">
        <f t="shared" ref="E27" si="11">$J$1-D27</f>
        <v>4.6875000000000007E-3</v>
      </c>
      <c r="F27" s="96">
        <f t="shared" ref="F27" si="12">G27-E27</f>
        <v>1.4629629629629628E-2</v>
      </c>
      <c r="G27" s="96">
        <v>1.9317129629629629E-2</v>
      </c>
      <c r="H27" s="96">
        <f t="shared" ref="H27" si="13">IF(F27&gt;D27,F27-D27,D27-F27)</f>
        <v>1.2615740740740712E-3</v>
      </c>
      <c r="I27" s="59">
        <f t="shared" ref="I27" si="14">ROUND(100-((100/$B$31)*(A27-1)),2)</f>
        <v>10.71</v>
      </c>
      <c r="K27" s="70"/>
      <c r="L27" s="43">
        <v>26</v>
      </c>
      <c r="M27" s="42" t="s">
        <v>256</v>
      </c>
      <c r="N27" s="96">
        <v>1.7499999999999998E-2</v>
      </c>
    </row>
    <row r="28" spans="1:14" ht="16.5" customHeight="1" x14ac:dyDescent="0.2">
      <c r="A28" s="43">
        <f t="shared" si="0"/>
        <v>27</v>
      </c>
      <c r="B28" s="43">
        <f t="shared" si="1"/>
        <v>24</v>
      </c>
      <c r="C28" s="42" t="s">
        <v>90</v>
      </c>
      <c r="D28" s="96">
        <v>1.545138888888889E-2</v>
      </c>
      <c r="E28" s="96">
        <f t="shared" si="2"/>
        <v>2.6041666666666678E-3</v>
      </c>
      <c r="F28" s="96">
        <f t="shared" si="5"/>
        <v>1.7037037037037038E-2</v>
      </c>
      <c r="G28" s="96">
        <v>1.9641203703703706E-2</v>
      </c>
      <c r="H28" s="96">
        <f t="shared" si="3"/>
        <v>1.5856481481481485E-3</v>
      </c>
      <c r="I28" s="59">
        <f t="shared" si="4"/>
        <v>7.14</v>
      </c>
      <c r="K28" s="70"/>
      <c r="L28" s="43">
        <v>27</v>
      </c>
      <c r="M28" s="42" t="s">
        <v>439</v>
      </c>
      <c r="N28" s="96">
        <v>1.8148148148148146E-2</v>
      </c>
    </row>
    <row r="29" spans="1:14" ht="16.5" customHeight="1" x14ac:dyDescent="0.2">
      <c r="A29" s="43">
        <f t="shared" si="0"/>
        <v>28</v>
      </c>
      <c r="B29" s="43">
        <f t="shared" si="1"/>
        <v>23</v>
      </c>
      <c r="C29" s="42" t="s">
        <v>327</v>
      </c>
      <c r="D29" s="96">
        <v>1.4236111111111111E-2</v>
      </c>
      <c r="E29" s="96">
        <f t="shared" ref="E29" si="15">$J$1-D29</f>
        <v>3.8194444444444465E-3</v>
      </c>
      <c r="F29" s="96">
        <f t="shared" ref="F29" si="16">G29-E29</f>
        <v>1.65162037037037E-2</v>
      </c>
      <c r="G29" s="96">
        <v>2.0335648148148148E-2</v>
      </c>
      <c r="H29" s="96">
        <f t="shared" ref="H29" si="17">IF(F29&gt;D29,F29-D29,D29-F29)</f>
        <v>2.2800925925925888E-3</v>
      </c>
      <c r="I29" s="59">
        <f t="shared" ref="I29" si="18">ROUND(100-((100/$B$31)*(A29-1)),2)</f>
        <v>3.57</v>
      </c>
      <c r="K29" s="70"/>
      <c r="L29" s="43">
        <v>28</v>
      </c>
      <c r="M29" s="42" t="s">
        <v>362</v>
      </c>
      <c r="N29" s="96">
        <v>1.9120370370370371E-2</v>
      </c>
    </row>
    <row r="31" spans="1:14" ht="17.25" customHeight="1" x14ac:dyDescent="0.2">
      <c r="A31" s="43" t="s">
        <v>25</v>
      </c>
      <c r="B31" s="60">
        <v>28</v>
      </c>
    </row>
    <row r="33" spans="1:9" ht="17.25" customHeight="1" x14ac:dyDescent="0.2">
      <c r="A33" s="43" t="s">
        <v>15</v>
      </c>
      <c r="B33" s="43">
        <v>1</v>
      </c>
      <c r="C33" s="42" t="s">
        <v>384</v>
      </c>
      <c r="D33" s="65"/>
      <c r="I33" s="43">
        <f>ROUND(100-((100/$B$31)*(ROUNDUP($B$31*0.4,0)-1)),2)</f>
        <v>60.71</v>
      </c>
    </row>
    <row r="34" spans="1:9" ht="17.25" customHeight="1" x14ac:dyDescent="0.2">
      <c r="B34" s="43">
        <v>2</v>
      </c>
      <c r="C34" s="42" t="s">
        <v>378</v>
      </c>
      <c r="D34" s="65"/>
      <c r="I34" s="43">
        <f t="shared" ref="I34:I36" si="19">ROUND(100-((100/$B$31)*(ROUNDUP($B$31*0.4,0)-1)),2)</f>
        <v>60.71</v>
      </c>
    </row>
    <row r="35" spans="1:9" ht="17.25" customHeight="1" x14ac:dyDescent="0.2">
      <c r="B35" s="43">
        <v>3</v>
      </c>
      <c r="C35" s="42" t="s">
        <v>148</v>
      </c>
      <c r="D35" s="65"/>
      <c r="I35" s="43">
        <f t="shared" si="19"/>
        <v>60.71</v>
      </c>
    </row>
    <row r="36" spans="1:9" ht="17.25" customHeight="1" x14ac:dyDescent="0.2">
      <c r="B36" s="43">
        <v>4</v>
      </c>
      <c r="C36" s="42" t="s">
        <v>426</v>
      </c>
      <c r="D36" s="65"/>
      <c r="I36" s="43">
        <f t="shared" si="19"/>
        <v>60.71</v>
      </c>
    </row>
    <row r="37" spans="1:9" ht="17.25" customHeight="1" x14ac:dyDescent="0.2">
      <c r="B37" s="43">
        <v>5</v>
      </c>
      <c r="C37" s="42"/>
      <c r="D37" s="65"/>
      <c r="I37" s="43"/>
    </row>
    <row r="39" spans="1:9" ht="17.25" customHeight="1" x14ac:dyDescent="0.2">
      <c r="H39" s="65" t="s">
        <v>28</v>
      </c>
      <c r="I39" s="59">
        <f>SUM(I2:I37)</f>
        <v>1692.8400000000001</v>
      </c>
    </row>
  </sheetData>
  <sheetProtection algorithmName="SHA-512" hashValue="ESHAHSvWzszkmxkH6265Mqnx7G4cAtJLpPvpXaxKm8qSXmP4w20AAGhxyZzQvodxU8/iRcgauErRrdr8ib3FTg==" saltValue="379arA3/J2t6mBvUzfVHsw==" spinCount="100000" sheet="1" objects="1" scenarios="1"/>
  <sortState xmlns:xlrd2="http://schemas.microsoft.com/office/spreadsheetml/2017/richdata2" ref="M2:N29">
    <sortCondition ref="N2:N2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N49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28515625" customWidth="1"/>
    <col min="2" max="2" width="11.28515625" customWidth="1"/>
    <col min="3" max="3" width="23.7109375" customWidth="1"/>
    <col min="4" max="11" width="11.140625" customWidth="1"/>
    <col min="12" max="12" width="10.42578125" hidden="1" customWidth="1"/>
    <col min="13" max="13" width="7.140625" hidden="1" customWidth="1"/>
    <col min="14" max="14" width="8" hidden="1" customWidth="1"/>
    <col min="15" max="15" width="4.85546875" hidden="1" customWidth="1"/>
    <col min="16" max="16" width="12.85546875" hidden="1" customWidth="1"/>
    <col min="17" max="17" width="10.85546875" hidden="1" customWidth="1"/>
    <col min="18" max="18" width="1.5703125" hidden="1" customWidth="1"/>
    <col min="19" max="19" width="9.28515625" bestFit="1" customWidth="1"/>
    <col min="20" max="20" width="11.28515625" customWidth="1"/>
    <col min="21" max="21" width="5.7109375" hidden="1" customWidth="1"/>
    <col min="22" max="22" width="23.7109375" customWidth="1"/>
    <col min="23" max="24" width="11.140625" customWidth="1"/>
    <col min="25" max="25" width="8.7109375" customWidth="1"/>
    <col min="26" max="26" width="11.140625" customWidth="1"/>
    <col min="27" max="27" width="5.7109375" hidden="1" customWidth="1"/>
    <col min="28" max="28" width="24.42578125" bestFit="1" customWidth="1"/>
    <col min="29" max="29" width="11.140625" customWidth="1"/>
    <col min="30" max="30" width="10.28515625" hidden="1" customWidth="1"/>
    <col min="35" max="35" width="18.140625" bestFit="1" customWidth="1"/>
    <col min="36" max="36" width="18.140625" customWidth="1"/>
  </cols>
  <sheetData>
    <row r="1" spans="1:40" ht="38.25" customHeight="1" x14ac:dyDescent="0.2">
      <c r="A1" s="165" t="s">
        <v>5</v>
      </c>
      <c r="B1" s="165" t="s">
        <v>6</v>
      </c>
      <c r="C1" s="166" t="s">
        <v>7</v>
      </c>
      <c r="D1" s="165" t="s">
        <v>16</v>
      </c>
      <c r="E1" s="165" t="s">
        <v>219</v>
      </c>
      <c r="F1" s="165" t="s">
        <v>272</v>
      </c>
      <c r="G1" s="165" t="s">
        <v>273</v>
      </c>
      <c r="H1" s="165" t="s">
        <v>19</v>
      </c>
      <c r="I1" s="165" t="s">
        <v>18</v>
      </c>
      <c r="J1" s="165" t="s">
        <v>14</v>
      </c>
      <c r="K1" s="165" t="s">
        <v>9</v>
      </c>
      <c r="L1" s="167" t="s">
        <v>276</v>
      </c>
      <c r="M1" s="132">
        <v>9.1435185185185178E-3</v>
      </c>
      <c r="N1" s="8" t="s">
        <v>19</v>
      </c>
      <c r="O1" s="108" t="s">
        <v>154</v>
      </c>
      <c r="P1" s="99" t="s">
        <v>152</v>
      </c>
      <c r="Q1" s="99" t="s">
        <v>153</v>
      </c>
      <c r="T1" s="159" t="s">
        <v>6</v>
      </c>
      <c r="U1" s="160" t="s">
        <v>154</v>
      </c>
      <c r="V1" s="161" t="s">
        <v>7</v>
      </c>
      <c r="W1" s="159" t="s">
        <v>19</v>
      </c>
      <c r="X1" s="159" t="s">
        <v>275</v>
      </c>
      <c r="Y1" s="151"/>
      <c r="Z1" s="162" t="s">
        <v>245</v>
      </c>
      <c r="AA1" s="163" t="s">
        <v>154</v>
      </c>
      <c r="AB1" s="164" t="s">
        <v>7</v>
      </c>
      <c r="AC1" s="163" t="s">
        <v>152</v>
      </c>
      <c r="AD1" s="158">
        <v>43641</v>
      </c>
    </row>
    <row r="2" spans="1:40" ht="16.5" customHeight="1" x14ac:dyDescent="0.2">
      <c r="A2" s="43">
        <f t="shared" ref="A2:A37" si="0">RANK(I2,$I$2:$I$37,1)</f>
        <v>1</v>
      </c>
      <c r="B2" s="43">
        <f t="shared" ref="B2:B37" si="1">RANK(H2,$H$2:$H$37,1)</f>
        <v>12</v>
      </c>
      <c r="C2" s="219" t="s">
        <v>144</v>
      </c>
      <c r="D2" s="190">
        <v>7.8703703703703713E-3</v>
      </c>
      <c r="E2" s="190">
        <v>2.1990740740740738E-3</v>
      </c>
      <c r="F2" s="95">
        <f t="shared" ref="F2:F37" si="2">$M$1-D2</f>
        <v>1.2731481481481465E-3</v>
      </c>
      <c r="G2" s="95">
        <v>9.5833333333333343E-3</v>
      </c>
      <c r="H2" s="95">
        <f t="shared" ref="H2:H37" si="3">G2-E2</f>
        <v>7.3842592592592605E-3</v>
      </c>
      <c r="I2" s="95">
        <f t="shared" ref="I2:I37" si="4">F2+H2</f>
        <v>8.6574074074074071E-3</v>
      </c>
      <c r="J2" s="95">
        <f t="shared" ref="J2:J37" si="5">IF(H2&gt;D2,H2-D2,D2-H2)</f>
        <v>4.8611111111111077E-4</v>
      </c>
      <c r="K2" s="59">
        <f t="shared" ref="K2:K37" si="6">ROUND(100-((100/$B$40)*(A2-1)),2)</f>
        <v>100</v>
      </c>
      <c r="L2" s="225"/>
      <c r="N2" s="92">
        <f>H2</f>
        <v>7.3842592592592605E-3</v>
      </c>
      <c r="O2" s="43">
        <f>DATEDIF(AD2,$AD$1,"y")</f>
        <v>48</v>
      </c>
      <c r="P2" s="150" t="e">
        <f>VLOOKUP(C2,$AL$2:$AN$39,3,FALSE)</f>
        <v>#N/A</v>
      </c>
      <c r="Q2" s="43" t="e">
        <f>RANK(P2,$P$2:$P$37,0)</f>
        <v>#N/A</v>
      </c>
      <c r="S2" s="173"/>
      <c r="T2" s="43">
        <v>1</v>
      </c>
      <c r="U2" s="43">
        <v>35</v>
      </c>
      <c r="V2" s="220" t="s">
        <v>145</v>
      </c>
      <c r="W2" s="92">
        <v>6.5625000000000015E-3</v>
      </c>
      <c r="X2" s="92">
        <f t="shared" ref="X2:X33" si="7">W2/3</f>
        <v>2.1875000000000006E-3</v>
      </c>
      <c r="Y2" s="152"/>
      <c r="Z2" s="43">
        <v>1</v>
      </c>
      <c r="AA2" s="43">
        <v>45</v>
      </c>
      <c r="AB2" s="220" t="s">
        <v>48</v>
      </c>
      <c r="AC2" s="150">
        <v>0.84689999999999999</v>
      </c>
      <c r="AD2" s="113">
        <f>VLOOKUP(C2,'Progress points - Male'!$A$5:$D$218,4,FALSE)</f>
        <v>25984</v>
      </c>
      <c r="AK2" s="124"/>
      <c r="AL2" s="124"/>
      <c r="AN2" s="124"/>
    </row>
    <row r="3" spans="1:40" ht="16.5" customHeight="1" x14ac:dyDescent="0.2">
      <c r="A3" s="43">
        <f t="shared" si="0"/>
        <v>2</v>
      </c>
      <c r="B3" s="43">
        <f t="shared" si="1"/>
        <v>35</v>
      </c>
      <c r="C3" s="219" t="s">
        <v>439</v>
      </c>
      <c r="D3" s="190">
        <v>9.1435185185185178E-3</v>
      </c>
      <c r="E3" s="190">
        <v>9.2592592592592726E-4</v>
      </c>
      <c r="F3" s="95">
        <f t="shared" si="2"/>
        <v>0</v>
      </c>
      <c r="G3" s="95">
        <v>9.618055555555555E-3</v>
      </c>
      <c r="H3" s="95">
        <f t="shared" si="3"/>
        <v>8.6921296296296278E-3</v>
      </c>
      <c r="I3" s="95">
        <f t="shared" si="4"/>
        <v>8.6921296296296278E-3</v>
      </c>
      <c r="J3" s="95">
        <f t="shared" si="5"/>
        <v>4.5138888888889006E-4</v>
      </c>
      <c r="K3" s="59">
        <f t="shared" si="6"/>
        <v>97.22</v>
      </c>
      <c r="L3" s="225"/>
      <c r="N3" s="92">
        <f t="shared" ref="N3:N37" si="8">H3</f>
        <v>8.6921296296296278E-3</v>
      </c>
      <c r="O3" s="43">
        <f t="shared" ref="O3:O37" si="9">DATEDIF(AD3,$AD$1,"y")</f>
        <v>36</v>
      </c>
      <c r="P3" s="150" t="e">
        <f t="shared" ref="P3:P37" si="10">VLOOKUP(C3,$AL$2:$AN$39,3,FALSE)</f>
        <v>#N/A</v>
      </c>
      <c r="Q3" s="43" t="e">
        <f t="shared" ref="Q3:Q37" si="11">RANK(P3,$P$2:$P$37,0)</f>
        <v>#N/A</v>
      </c>
      <c r="S3" s="173"/>
      <c r="T3" s="43">
        <v>2</v>
      </c>
      <c r="U3" s="43">
        <v>45</v>
      </c>
      <c r="V3" s="220" t="s">
        <v>48</v>
      </c>
      <c r="W3" s="92">
        <v>6.6087962962962966E-3</v>
      </c>
      <c r="X3" s="92">
        <f t="shared" si="7"/>
        <v>2.2029320987654324E-3</v>
      </c>
      <c r="Y3" s="152"/>
      <c r="Z3" s="43">
        <v>2</v>
      </c>
      <c r="AA3" s="43">
        <v>47</v>
      </c>
      <c r="AB3" s="219" t="s">
        <v>132</v>
      </c>
      <c r="AC3" s="150">
        <v>0.83409999999999995</v>
      </c>
      <c r="AD3" s="113">
        <f>VLOOKUP(C3,'Progress points - Female'!$A$5:$D$218,4,FALSE)</f>
        <v>30153</v>
      </c>
      <c r="AK3" s="124"/>
      <c r="AL3" s="124"/>
      <c r="AN3" s="124"/>
    </row>
    <row r="4" spans="1:40" ht="16.5" customHeight="1" x14ac:dyDescent="0.2">
      <c r="A4" s="43">
        <f t="shared" si="0"/>
        <v>3</v>
      </c>
      <c r="B4" s="43">
        <f t="shared" si="1"/>
        <v>23</v>
      </c>
      <c r="C4" s="219" t="s">
        <v>132</v>
      </c>
      <c r="D4" s="190">
        <v>8.217592592592594E-3</v>
      </c>
      <c r="E4" s="190">
        <v>1.8518518518518511E-3</v>
      </c>
      <c r="F4" s="95">
        <f t="shared" si="2"/>
        <v>9.2592592592592379E-4</v>
      </c>
      <c r="G4" s="95">
        <v>9.7106481481481471E-3</v>
      </c>
      <c r="H4" s="95">
        <f t="shared" si="3"/>
        <v>7.858796296296296E-3</v>
      </c>
      <c r="I4" s="95">
        <f t="shared" si="4"/>
        <v>8.7847222222222198E-3</v>
      </c>
      <c r="J4" s="95">
        <f t="shared" si="5"/>
        <v>3.5879629629629803E-4</v>
      </c>
      <c r="K4" s="59">
        <f t="shared" si="6"/>
        <v>94.44</v>
      </c>
      <c r="L4" s="225"/>
      <c r="N4" s="92">
        <f t="shared" si="8"/>
        <v>7.858796296296296E-3</v>
      </c>
      <c r="O4" s="43">
        <f t="shared" si="9"/>
        <v>47</v>
      </c>
      <c r="P4" s="150" t="e">
        <f t="shared" si="10"/>
        <v>#N/A</v>
      </c>
      <c r="Q4" s="43" t="e">
        <f t="shared" si="11"/>
        <v>#N/A</v>
      </c>
      <c r="S4" s="173"/>
      <c r="T4" s="43">
        <v>3</v>
      </c>
      <c r="U4" s="43">
        <v>44</v>
      </c>
      <c r="V4" s="220" t="s">
        <v>32</v>
      </c>
      <c r="W4" s="92">
        <v>6.7361111111111103E-3</v>
      </c>
      <c r="X4" s="92">
        <f t="shared" si="7"/>
        <v>2.2453703703703702E-3</v>
      </c>
      <c r="Y4" s="152"/>
      <c r="Z4" s="43">
        <v>3</v>
      </c>
      <c r="AA4" s="43">
        <v>44</v>
      </c>
      <c r="AB4" s="220" t="s">
        <v>32</v>
      </c>
      <c r="AC4" s="150">
        <v>0.82450000000000001</v>
      </c>
      <c r="AD4" s="113">
        <f>VLOOKUP(C4,'Progress points - Female'!$A$5:$D$218,4,FALSE)</f>
        <v>26202</v>
      </c>
      <c r="AK4" s="124"/>
      <c r="AL4" s="124"/>
      <c r="AN4" s="124"/>
    </row>
    <row r="5" spans="1:40" ht="16.5" customHeight="1" x14ac:dyDescent="0.2">
      <c r="A5" s="43">
        <f t="shared" si="0"/>
        <v>4</v>
      </c>
      <c r="B5" s="43">
        <f t="shared" si="1"/>
        <v>17</v>
      </c>
      <c r="C5" s="219" t="s">
        <v>257</v>
      </c>
      <c r="D5" s="190">
        <v>7.9282407407407409E-3</v>
      </c>
      <c r="E5" s="190">
        <v>2.1412037037037042E-3</v>
      </c>
      <c r="F5" s="95">
        <f t="shared" si="2"/>
        <v>1.2152777777777769E-3</v>
      </c>
      <c r="G5" s="95">
        <v>9.8032407407407408E-3</v>
      </c>
      <c r="H5" s="95">
        <f t="shared" si="3"/>
        <v>7.6620370370370366E-3</v>
      </c>
      <c r="I5" s="95">
        <f t="shared" si="4"/>
        <v>8.8773148148148136E-3</v>
      </c>
      <c r="J5" s="95">
        <f t="shared" si="5"/>
        <v>2.6620370370370426E-4</v>
      </c>
      <c r="K5" s="59">
        <f t="shared" si="6"/>
        <v>91.67</v>
      </c>
      <c r="L5" s="225"/>
      <c r="N5" s="92">
        <f t="shared" si="8"/>
        <v>7.6620370370370366E-3</v>
      </c>
      <c r="O5" s="43">
        <f t="shared" si="9"/>
        <v>37</v>
      </c>
      <c r="P5" s="150" t="e">
        <f t="shared" si="10"/>
        <v>#N/A</v>
      </c>
      <c r="Q5" s="43" t="e">
        <f t="shared" si="11"/>
        <v>#N/A</v>
      </c>
      <c r="S5" s="173"/>
      <c r="T5" s="43">
        <v>4</v>
      </c>
      <c r="U5" s="43">
        <v>44</v>
      </c>
      <c r="V5" s="220" t="s">
        <v>85</v>
      </c>
      <c r="W5" s="92">
        <v>6.8171296296296296E-3</v>
      </c>
      <c r="X5" s="92">
        <f t="shared" si="7"/>
        <v>2.2723765432098764E-3</v>
      </c>
      <c r="Y5" s="152"/>
      <c r="Z5" s="43">
        <v>4</v>
      </c>
      <c r="AA5" s="43">
        <v>48</v>
      </c>
      <c r="AB5" s="219" t="s">
        <v>119</v>
      </c>
      <c r="AC5" s="150">
        <v>0.82150000000000001</v>
      </c>
      <c r="AD5" s="113">
        <f>VLOOKUP(C5,'Progress points - Female'!$A$5:$D$218,4,FALSE)</f>
        <v>30088</v>
      </c>
      <c r="AK5" s="226"/>
      <c r="AL5" s="124"/>
      <c r="AN5" s="124"/>
    </row>
    <row r="6" spans="1:40" ht="16.5" customHeight="1" x14ac:dyDescent="0.2">
      <c r="A6" s="43">
        <f t="shared" si="0"/>
        <v>5</v>
      </c>
      <c r="B6" s="43">
        <f t="shared" si="1"/>
        <v>14</v>
      </c>
      <c r="C6" s="220" t="s">
        <v>173</v>
      </c>
      <c r="D6" s="190">
        <v>7.69675925925926E-3</v>
      </c>
      <c r="E6" s="190">
        <v>1.1574074074074004E-4</v>
      </c>
      <c r="F6" s="95">
        <f t="shared" si="2"/>
        <v>1.4467592592592579E-3</v>
      </c>
      <c r="G6" s="95">
        <v>7.5810185185185182E-3</v>
      </c>
      <c r="H6" s="95">
        <f t="shared" si="3"/>
        <v>7.4652777777777781E-3</v>
      </c>
      <c r="I6" s="95">
        <f t="shared" si="4"/>
        <v>8.912037037037036E-3</v>
      </c>
      <c r="J6" s="95">
        <f t="shared" si="5"/>
        <v>2.3148148148148182E-4</v>
      </c>
      <c r="K6" s="59">
        <f t="shared" si="6"/>
        <v>88.89</v>
      </c>
      <c r="L6" s="225"/>
      <c r="N6" s="92">
        <f t="shared" si="8"/>
        <v>7.4652777777777781E-3</v>
      </c>
      <c r="O6" s="43">
        <f t="shared" si="9"/>
        <v>34</v>
      </c>
      <c r="P6" s="150" t="e">
        <f t="shared" si="10"/>
        <v>#N/A</v>
      </c>
      <c r="Q6" s="43" t="e">
        <f t="shared" si="11"/>
        <v>#N/A</v>
      </c>
      <c r="S6" s="173"/>
      <c r="T6" s="43">
        <v>5</v>
      </c>
      <c r="U6" s="43">
        <v>42</v>
      </c>
      <c r="V6" s="220" t="s">
        <v>74</v>
      </c>
      <c r="W6" s="92">
        <v>6.9907407407407409E-3</v>
      </c>
      <c r="X6" s="92">
        <f t="shared" si="7"/>
        <v>2.3302469135802468E-3</v>
      </c>
      <c r="Y6" s="152"/>
      <c r="Z6" s="43">
        <v>5</v>
      </c>
      <c r="AA6" s="43">
        <v>44</v>
      </c>
      <c r="AB6" s="220" t="s">
        <v>85</v>
      </c>
      <c r="AC6" s="150">
        <v>0.81469999999999998</v>
      </c>
      <c r="AD6" s="113">
        <f>VLOOKUP(C6,'Progress points - Male'!$A$5:$D$218,4,FALSE)</f>
        <v>30976</v>
      </c>
      <c r="AK6" s="124"/>
      <c r="AL6" s="124"/>
      <c r="AN6" s="124"/>
    </row>
    <row r="7" spans="1:40" ht="16.5" customHeight="1" x14ac:dyDescent="0.2">
      <c r="A7" s="43">
        <f t="shared" si="0"/>
        <v>5</v>
      </c>
      <c r="B7" s="43">
        <f t="shared" si="1"/>
        <v>9</v>
      </c>
      <c r="C7" s="220" t="s">
        <v>258</v>
      </c>
      <c r="D7" s="190">
        <v>7.5810185185185182E-3</v>
      </c>
      <c r="E7" s="190">
        <v>2.3148148148148182E-4</v>
      </c>
      <c r="F7" s="95">
        <f t="shared" si="2"/>
        <v>1.5624999999999997E-3</v>
      </c>
      <c r="G7" s="95">
        <v>7.5810185185185182E-3</v>
      </c>
      <c r="H7" s="95">
        <f t="shared" si="3"/>
        <v>7.3495370370370364E-3</v>
      </c>
      <c r="I7" s="95">
        <f t="shared" si="4"/>
        <v>8.912037037037036E-3</v>
      </c>
      <c r="J7" s="95">
        <f t="shared" si="5"/>
        <v>2.3148148148148182E-4</v>
      </c>
      <c r="K7" s="59">
        <f t="shared" si="6"/>
        <v>88.89</v>
      </c>
      <c r="L7" s="225"/>
      <c r="N7" s="92">
        <f t="shared" si="8"/>
        <v>7.3495370370370364E-3</v>
      </c>
      <c r="O7" s="43">
        <f t="shared" si="9"/>
        <v>44</v>
      </c>
      <c r="P7" s="150" t="e">
        <f t="shared" si="10"/>
        <v>#N/A</v>
      </c>
      <c r="Q7" s="43" t="e">
        <f t="shared" si="11"/>
        <v>#N/A</v>
      </c>
      <c r="S7" s="173"/>
      <c r="T7" s="43">
        <v>6</v>
      </c>
      <c r="U7" s="43">
        <v>40</v>
      </c>
      <c r="V7" s="220" t="s">
        <v>45</v>
      </c>
      <c r="W7" s="92">
        <v>7.1412037037037034E-3</v>
      </c>
      <c r="X7" s="92">
        <f t="shared" si="7"/>
        <v>2.380401234567901E-3</v>
      </c>
      <c r="Y7" s="152"/>
      <c r="Z7" s="43">
        <v>6</v>
      </c>
      <c r="AA7" s="43">
        <v>50</v>
      </c>
      <c r="AB7" s="220" t="s">
        <v>347</v>
      </c>
      <c r="AC7" s="150">
        <v>0.80100000000000005</v>
      </c>
      <c r="AD7" s="113">
        <f>VLOOKUP(C7,'Progress points - Male'!$A$5:$D$218,4,FALSE)</f>
        <v>27236</v>
      </c>
      <c r="AK7" s="124"/>
      <c r="AL7" s="124"/>
      <c r="AN7" s="124"/>
    </row>
    <row r="8" spans="1:40" ht="16.5" customHeight="1" x14ac:dyDescent="0.2">
      <c r="A8" s="43">
        <f t="shared" si="0"/>
        <v>7</v>
      </c>
      <c r="B8" s="43">
        <f t="shared" si="1"/>
        <v>2</v>
      </c>
      <c r="C8" s="220" t="s">
        <v>48</v>
      </c>
      <c r="D8" s="190">
        <v>6.828703703703704E-3</v>
      </c>
      <c r="E8" s="190">
        <v>9.8379629629629598E-4</v>
      </c>
      <c r="F8" s="95">
        <f t="shared" si="2"/>
        <v>2.3148148148148138E-3</v>
      </c>
      <c r="G8" s="95">
        <v>7.5925925925925926E-3</v>
      </c>
      <c r="H8" s="95">
        <f t="shared" si="3"/>
        <v>6.6087962962962966E-3</v>
      </c>
      <c r="I8" s="95">
        <f t="shared" si="4"/>
        <v>8.9236111111111113E-3</v>
      </c>
      <c r="J8" s="95">
        <f t="shared" si="5"/>
        <v>2.1990740740740738E-4</v>
      </c>
      <c r="K8" s="59">
        <f t="shared" si="6"/>
        <v>83.33</v>
      </c>
      <c r="L8" s="225"/>
      <c r="N8" s="92">
        <f t="shared" si="8"/>
        <v>6.6087962962962966E-3</v>
      </c>
      <c r="O8" s="43">
        <f t="shared" si="9"/>
        <v>45</v>
      </c>
      <c r="P8" s="150" t="e">
        <f t="shared" si="10"/>
        <v>#N/A</v>
      </c>
      <c r="Q8" s="43" t="e">
        <f t="shared" si="11"/>
        <v>#N/A</v>
      </c>
      <c r="S8" s="173"/>
      <c r="T8" s="43">
        <v>7</v>
      </c>
      <c r="U8" s="43">
        <v>43</v>
      </c>
      <c r="V8" s="220" t="s">
        <v>127</v>
      </c>
      <c r="W8" s="92">
        <v>7.1412037037037043E-3</v>
      </c>
      <c r="X8" s="92">
        <f t="shared" si="7"/>
        <v>2.3804012345679014E-3</v>
      </c>
      <c r="Y8" s="152"/>
      <c r="Z8" s="43">
        <v>7</v>
      </c>
      <c r="AA8" s="43">
        <v>35</v>
      </c>
      <c r="AB8" s="220" t="s">
        <v>145</v>
      </c>
      <c r="AC8" s="150">
        <v>0.79279999999999995</v>
      </c>
      <c r="AD8" s="113">
        <f>VLOOKUP(C8,'Progress points - Male'!$A$5:$D$218,4,FALSE)</f>
        <v>27080</v>
      </c>
      <c r="AK8" s="124"/>
      <c r="AL8" s="124"/>
      <c r="AN8" s="124"/>
    </row>
    <row r="9" spans="1:40" ht="16.5" customHeight="1" x14ac:dyDescent="0.2">
      <c r="A9" s="43">
        <f t="shared" si="0"/>
        <v>8</v>
      </c>
      <c r="B9" s="43">
        <f t="shared" si="1"/>
        <v>30</v>
      </c>
      <c r="C9" s="219" t="s">
        <v>169</v>
      </c>
      <c r="D9" s="190">
        <v>8.3333333333333332E-3</v>
      </c>
      <c r="E9" s="190">
        <v>1.7361111111111119E-3</v>
      </c>
      <c r="F9" s="95">
        <f t="shared" si="2"/>
        <v>8.1018518518518462E-4</v>
      </c>
      <c r="G9" s="95">
        <v>9.8611111111111104E-3</v>
      </c>
      <c r="H9" s="95">
        <f t="shared" si="3"/>
        <v>8.1249999999999985E-3</v>
      </c>
      <c r="I9" s="95">
        <f t="shared" si="4"/>
        <v>8.9351851851851832E-3</v>
      </c>
      <c r="J9" s="95">
        <f t="shared" si="5"/>
        <v>2.0833333333333467E-4</v>
      </c>
      <c r="K9" s="59">
        <f t="shared" si="6"/>
        <v>80.56</v>
      </c>
      <c r="L9" s="225"/>
      <c r="N9" s="92">
        <f t="shared" si="8"/>
        <v>8.1249999999999985E-3</v>
      </c>
      <c r="O9" s="43">
        <f t="shared" si="9"/>
        <v>47</v>
      </c>
      <c r="P9" s="150" t="e">
        <f t="shared" si="10"/>
        <v>#N/A</v>
      </c>
      <c r="Q9" s="43" t="e">
        <f t="shared" si="11"/>
        <v>#N/A</v>
      </c>
      <c r="S9" s="173"/>
      <c r="T9" s="43">
        <v>8</v>
      </c>
      <c r="U9" s="43">
        <v>50</v>
      </c>
      <c r="V9" s="220" t="s">
        <v>347</v>
      </c>
      <c r="W9" s="92">
        <v>7.2685185185185196E-3</v>
      </c>
      <c r="X9" s="92">
        <f t="shared" si="7"/>
        <v>2.4228395061728397E-3</v>
      </c>
      <c r="Y9" s="152"/>
      <c r="Z9" s="43">
        <v>8</v>
      </c>
      <c r="AA9" s="43">
        <v>42</v>
      </c>
      <c r="AB9" s="220" t="s">
        <v>74</v>
      </c>
      <c r="AC9" s="150">
        <v>0.78249999999999997</v>
      </c>
      <c r="AD9" s="113">
        <f>VLOOKUP(C9,'Progress points - Male'!$A$5:$D$218,4,FALSE)</f>
        <v>26193</v>
      </c>
      <c r="AJ9" s="13"/>
      <c r="AL9" s="124"/>
      <c r="AN9" s="124"/>
    </row>
    <row r="10" spans="1:40" ht="16.5" customHeight="1" x14ac:dyDescent="0.2">
      <c r="A10" s="43">
        <f t="shared" si="0"/>
        <v>8</v>
      </c>
      <c r="B10" s="43">
        <f t="shared" si="1"/>
        <v>21</v>
      </c>
      <c r="C10" s="219" t="s">
        <v>197</v>
      </c>
      <c r="D10" s="190">
        <v>8.0439814814814818E-3</v>
      </c>
      <c r="E10" s="190">
        <v>2.0254629629629633E-3</v>
      </c>
      <c r="F10" s="95">
        <f t="shared" si="2"/>
        <v>1.099537037037036E-3</v>
      </c>
      <c r="G10" s="95">
        <v>9.8611111111111104E-3</v>
      </c>
      <c r="H10" s="95">
        <f t="shared" si="3"/>
        <v>7.8356481481481471E-3</v>
      </c>
      <c r="I10" s="95">
        <f t="shared" si="4"/>
        <v>8.9351851851851832E-3</v>
      </c>
      <c r="J10" s="95">
        <f t="shared" si="5"/>
        <v>2.0833333333333467E-4</v>
      </c>
      <c r="K10" s="59">
        <f t="shared" si="6"/>
        <v>80.56</v>
      </c>
      <c r="L10" s="225"/>
      <c r="N10" s="92">
        <f t="shared" si="8"/>
        <v>7.8356481481481471E-3</v>
      </c>
      <c r="O10" s="43">
        <f t="shared" si="9"/>
        <v>39</v>
      </c>
      <c r="P10" s="150" t="e">
        <f t="shared" si="10"/>
        <v>#N/A</v>
      </c>
      <c r="Q10" s="43" t="e">
        <f t="shared" si="11"/>
        <v>#N/A</v>
      </c>
      <c r="S10" s="173"/>
      <c r="T10" s="43">
        <v>9</v>
      </c>
      <c r="U10" s="43">
        <v>44</v>
      </c>
      <c r="V10" s="220" t="s">
        <v>258</v>
      </c>
      <c r="W10" s="92">
        <v>7.3495370370370364E-3</v>
      </c>
      <c r="X10" s="92">
        <f t="shared" si="7"/>
        <v>2.4498456790123455E-3</v>
      </c>
      <c r="Y10" s="152"/>
      <c r="Z10" s="43">
        <v>9</v>
      </c>
      <c r="AA10" s="43">
        <v>37</v>
      </c>
      <c r="AB10" s="219" t="s">
        <v>257</v>
      </c>
      <c r="AC10" s="150">
        <v>0.77610000000000001</v>
      </c>
      <c r="AD10" s="113">
        <f>VLOOKUP(C10,'Progress points - Male'!$A$5:$D$218,4,FALSE)</f>
        <v>29063</v>
      </c>
      <c r="AL10" s="124"/>
      <c r="AN10" s="124"/>
    </row>
    <row r="11" spans="1:40" ht="16.5" customHeight="1" x14ac:dyDescent="0.2">
      <c r="A11" s="43">
        <f t="shared" si="0"/>
        <v>10</v>
      </c>
      <c r="B11" s="43">
        <f t="shared" si="1"/>
        <v>16</v>
      </c>
      <c r="C11" s="220" t="s">
        <v>59</v>
      </c>
      <c r="D11" s="190">
        <v>7.7546296296296287E-3</v>
      </c>
      <c r="E11" s="190">
        <v>5.7870370370371321E-5</v>
      </c>
      <c r="F11" s="95">
        <f t="shared" si="2"/>
        <v>1.3888888888888892E-3</v>
      </c>
      <c r="G11" s="95">
        <v>7.6157407407407415E-3</v>
      </c>
      <c r="H11" s="95">
        <f t="shared" si="3"/>
        <v>7.5578703703703702E-3</v>
      </c>
      <c r="I11" s="95">
        <f t="shared" si="4"/>
        <v>8.9467592592592585E-3</v>
      </c>
      <c r="J11" s="95">
        <f t="shared" si="5"/>
        <v>1.967592592592585E-4</v>
      </c>
      <c r="K11" s="59">
        <f t="shared" si="6"/>
        <v>75</v>
      </c>
      <c r="L11" s="225"/>
      <c r="N11" s="92">
        <f t="shared" si="8"/>
        <v>7.5578703703703702E-3</v>
      </c>
      <c r="O11" s="43">
        <f t="shared" si="9"/>
        <v>47</v>
      </c>
      <c r="P11" s="150" t="e">
        <f t="shared" si="10"/>
        <v>#N/A</v>
      </c>
      <c r="Q11" s="43" t="e">
        <f t="shared" si="11"/>
        <v>#N/A</v>
      </c>
      <c r="S11" s="173"/>
      <c r="T11" s="43">
        <v>10</v>
      </c>
      <c r="U11" s="43">
        <v>43</v>
      </c>
      <c r="V11" s="220" t="s">
        <v>436</v>
      </c>
      <c r="W11" s="92">
        <v>7.3495370370370381E-3</v>
      </c>
      <c r="X11" s="92">
        <f t="shared" si="7"/>
        <v>2.4498456790123459E-3</v>
      </c>
      <c r="Y11" s="152"/>
      <c r="Z11" s="43">
        <v>10</v>
      </c>
      <c r="AA11" s="43">
        <v>48</v>
      </c>
      <c r="AB11" s="219" t="s">
        <v>144</v>
      </c>
      <c r="AC11" s="150">
        <v>0.77590000000000003</v>
      </c>
      <c r="AD11" s="113">
        <f>VLOOKUP(C11,'Progress points - Male'!$A$5:$D$218,4,FALSE)</f>
        <v>26469</v>
      </c>
      <c r="AK11" s="124"/>
      <c r="AL11" s="124"/>
      <c r="AN11" s="124"/>
    </row>
    <row r="12" spans="1:40" ht="16.5" customHeight="1" x14ac:dyDescent="0.2">
      <c r="A12" s="43">
        <f t="shared" si="0"/>
        <v>10</v>
      </c>
      <c r="B12" s="43">
        <f t="shared" si="1"/>
        <v>8</v>
      </c>
      <c r="C12" s="220" t="s">
        <v>347</v>
      </c>
      <c r="D12" s="190">
        <v>7.4652777777777781E-3</v>
      </c>
      <c r="E12" s="190">
        <v>3.4722222222222186E-4</v>
      </c>
      <c r="F12" s="95">
        <f t="shared" si="2"/>
        <v>1.6782407407407397E-3</v>
      </c>
      <c r="G12" s="95">
        <v>7.6157407407407415E-3</v>
      </c>
      <c r="H12" s="95">
        <f t="shared" si="3"/>
        <v>7.2685185185185196E-3</v>
      </c>
      <c r="I12" s="95">
        <f t="shared" si="4"/>
        <v>8.9467592592592585E-3</v>
      </c>
      <c r="J12" s="95">
        <f t="shared" si="5"/>
        <v>1.967592592592585E-4</v>
      </c>
      <c r="K12" s="59">
        <f t="shared" si="6"/>
        <v>75</v>
      </c>
      <c r="L12" s="225"/>
      <c r="N12" s="92">
        <f t="shared" si="8"/>
        <v>7.2685185185185196E-3</v>
      </c>
      <c r="O12" s="43">
        <f t="shared" si="9"/>
        <v>50</v>
      </c>
      <c r="P12" s="150" t="e">
        <f t="shared" si="10"/>
        <v>#N/A</v>
      </c>
      <c r="Q12" s="43" t="e">
        <f t="shared" si="11"/>
        <v>#N/A</v>
      </c>
      <c r="S12" s="173"/>
      <c r="T12" s="43">
        <v>11</v>
      </c>
      <c r="U12" s="43">
        <v>45</v>
      </c>
      <c r="V12" s="220" t="s">
        <v>396</v>
      </c>
      <c r="W12" s="92">
        <v>7.3611111111111108E-3</v>
      </c>
      <c r="X12" s="92">
        <f t="shared" si="7"/>
        <v>2.4537037037037036E-3</v>
      </c>
      <c r="Y12" s="152"/>
      <c r="Z12" s="43">
        <v>11</v>
      </c>
      <c r="AA12" s="43">
        <v>58</v>
      </c>
      <c r="AB12" s="219" t="s">
        <v>77</v>
      </c>
      <c r="AC12" s="150">
        <v>0.77470000000000006</v>
      </c>
      <c r="AD12" s="113">
        <f>VLOOKUP(C12,'Progress points - Male'!$A$5:$D$218,4,FALSE)</f>
        <v>25147</v>
      </c>
      <c r="AK12" s="124"/>
      <c r="AL12" s="124"/>
      <c r="AN12" s="124"/>
    </row>
    <row r="13" spans="1:40" ht="16.5" customHeight="1" x14ac:dyDescent="0.2">
      <c r="A13" s="43">
        <f t="shared" si="0"/>
        <v>12</v>
      </c>
      <c r="B13" s="43">
        <f t="shared" si="1"/>
        <v>20</v>
      </c>
      <c r="C13" s="219" t="s">
        <v>321</v>
      </c>
      <c r="D13" s="190">
        <v>7.9861111111111122E-3</v>
      </c>
      <c r="E13" s="190">
        <v>2.0833333333333329E-3</v>
      </c>
      <c r="F13" s="95">
        <f t="shared" si="2"/>
        <v>1.1574074074074056E-3</v>
      </c>
      <c r="G13" s="95">
        <v>9.8842592592592576E-3</v>
      </c>
      <c r="H13" s="95">
        <f t="shared" si="3"/>
        <v>7.8009259259259247E-3</v>
      </c>
      <c r="I13" s="95">
        <f t="shared" si="4"/>
        <v>8.9583333333333303E-3</v>
      </c>
      <c r="J13" s="95">
        <f t="shared" si="5"/>
        <v>1.8518518518518753E-4</v>
      </c>
      <c r="K13" s="59">
        <f t="shared" si="6"/>
        <v>69.44</v>
      </c>
      <c r="L13" s="225"/>
      <c r="N13" s="92">
        <f t="shared" si="8"/>
        <v>7.8009259259259247E-3</v>
      </c>
      <c r="O13" s="43">
        <f t="shared" si="9"/>
        <v>39</v>
      </c>
      <c r="P13" s="150" t="e">
        <f t="shared" si="10"/>
        <v>#N/A</v>
      </c>
      <c r="Q13" s="43" t="e">
        <f t="shared" si="11"/>
        <v>#N/A</v>
      </c>
      <c r="S13" s="173"/>
      <c r="T13" s="43">
        <v>12</v>
      </c>
      <c r="U13" s="43">
        <v>48</v>
      </c>
      <c r="V13" s="219" t="s">
        <v>144</v>
      </c>
      <c r="W13" s="92">
        <v>7.3842592592592605E-3</v>
      </c>
      <c r="X13" s="92">
        <f t="shared" si="7"/>
        <v>2.4614197530864203E-3</v>
      </c>
      <c r="Y13" s="152"/>
      <c r="Z13" s="43">
        <v>12</v>
      </c>
      <c r="AA13" s="43">
        <v>39</v>
      </c>
      <c r="AB13" s="219" t="s">
        <v>321</v>
      </c>
      <c r="AC13" s="150">
        <v>0.77270000000000005</v>
      </c>
      <c r="AD13" s="113">
        <f>VLOOKUP(C13,'Progress points - Female'!$A$5:$D$218,4,FALSE)</f>
        <v>29064</v>
      </c>
      <c r="AK13" s="124"/>
      <c r="AL13" s="124"/>
      <c r="AN13" s="124"/>
    </row>
    <row r="14" spans="1:40" ht="16.5" customHeight="1" x14ac:dyDescent="0.2">
      <c r="A14" s="43">
        <f t="shared" si="0"/>
        <v>13</v>
      </c>
      <c r="B14" s="43">
        <f t="shared" si="1"/>
        <v>11</v>
      </c>
      <c r="C14" s="220" t="s">
        <v>396</v>
      </c>
      <c r="D14" s="190">
        <v>7.5231481481481477E-3</v>
      </c>
      <c r="E14" s="190">
        <v>2.8935185185185227E-4</v>
      </c>
      <c r="F14" s="95">
        <f t="shared" si="2"/>
        <v>1.6203703703703701E-3</v>
      </c>
      <c r="G14" s="95">
        <v>7.6504629629629631E-3</v>
      </c>
      <c r="H14" s="95">
        <f t="shared" si="3"/>
        <v>7.3611111111111108E-3</v>
      </c>
      <c r="I14" s="95">
        <f t="shared" si="4"/>
        <v>8.9814814814814809E-3</v>
      </c>
      <c r="J14" s="95">
        <f t="shared" si="5"/>
        <v>1.6203703703703692E-4</v>
      </c>
      <c r="K14" s="59">
        <f t="shared" si="6"/>
        <v>66.67</v>
      </c>
      <c r="L14" s="225"/>
      <c r="N14" s="92">
        <f t="shared" si="8"/>
        <v>7.3611111111111108E-3</v>
      </c>
      <c r="O14" s="43">
        <f t="shared" si="9"/>
        <v>45</v>
      </c>
      <c r="P14" s="150" t="e">
        <f t="shared" si="10"/>
        <v>#N/A</v>
      </c>
      <c r="Q14" s="43" t="e">
        <f t="shared" si="11"/>
        <v>#N/A</v>
      </c>
      <c r="S14" s="173"/>
      <c r="T14" s="43">
        <v>13</v>
      </c>
      <c r="U14" s="43">
        <v>48</v>
      </c>
      <c r="V14" s="220" t="s">
        <v>76</v>
      </c>
      <c r="W14" s="92">
        <v>7.430555555555554E-3</v>
      </c>
      <c r="X14" s="92">
        <f t="shared" si="7"/>
        <v>2.4768518518518512E-3</v>
      </c>
      <c r="Y14" s="152"/>
      <c r="Z14" s="43">
        <v>13</v>
      </c>
      <c r="AA14" s="43">
        <v>43</v>
      </c>
      <c r="AB14" s="220" t="s">
        <v>127</v>
      </c>
      <c r="AC14" s="150">
        <v>0.77180000000000004</v>
      </c>
      <c r="AD14" s="113">
        <f>VLOOKUP(C14,'Progress points - Male'!$A$5:$D$218,4,FALSE)</f>
        <v>26857</v>
      </c>
      <c r="AK14" s="124"/>
      <c r="AL14" s="124"/>
      <c r="AN14" s="124"/>
    </row>
    <row r="15" spans="1:40" ht="16.5" customHeight="1" x14ac:dyDescent="0.2">
      <c r="A15" s="43">
        <f t="shared" si="0"/>
        <v>14</v>
      </c>
      <c r="B15" s="43">
        <f t="shared" si="1"/>
        <v>29</v>
      </c>
      <c r="C15" s="219" t="s">
        <v>119</v>
      </c>
      <c r="D15" s="190">
        <v>8.217592592592594E-3</v>
      </c>
      <c r="E15" s="190">
        <v>1.8518518518518517E-3</v>
      </c>
      <c r="F15" s="95">
        <f t="shared" si="2"/>
        <v>9.2592592592592379E-4</v>
      </c>
      <c r="G15" s="95">
        <v>9.9305555555555553E-3</v>
      </c>
      <c r="H15" s="95">
        <f t="shared" si="3"/>
        <v>8.0787037037037043E-3</v>
      </c>
      <c r="I15" s="95">
        <f t="shared" si="4"/>
        <v>9.0046296296296281E-3</v>
      </c>
      <c r="J15" s="95">
        <f t="shared" si="5"/>
        <v>1.3888888888888978E-4</v>
      </c>
      <c r="K15" s="59">
        <f t="shared" si="6"/>
        <v>63.89</v>
      </c>
      <c r="L15" s="225"/>
      <c r="N15" s="92">
        <f t="shared" si="8"/>
        <v>8.0787037037037043E-3</v>
      </c>
      <c r="O15" s="43">
        <f t="shared" si="9"/>
        <v>48</v>
      </c>
      <c r="P15" s="150" t="e">
        <f t="shared" si="10"/>
        <v>#N/A</v>
      </c>
      <c r="Q15" s="43" t="e">
        <f t="shared" si="11"/>
        <v>#N/A</v>
      </c>
      <c r="S15" s="173"/>
      <c r="T15" s="43">
        <v>14</v>
      </c>
      <c r="U15" s="43">
        <v>34</v>
      </c>
      <c r="V15" s="220" t="s">
        <v>173</v>
      </c>
      <c r="W15" s="92">
        <v>7.4652777777777781E-3</v>
      </c>
      <c r="X15" s="92">
        <f t="shared" si="7"/>
        <v>2.488425925925926E-3</v>
      </c>
      <c r="Y15" s="152"/>
      <c r="Z15" s="43">
        <v>14</v>
      </c>
      <c r="AA15" s="43">
        <v>48</v>
      </c>
      <c r="AB15" s="220" t="s">
        <v>76</v>
      </c>
      <c r="AC15" s="150">
        <v>0.77110000000000001</v>
      </c>
      <c r="AD15" s="113">
        <f>VLOOKUP(C15,'Progress points - Female'!$A$5:$D$218,4,FALSE)</f>
        <v>26072</v>
      </c>
      <c r="AK15" s="124"/>
      <c r="AL15" s="124"/>
      <c r="AN15" s="124"/>
    </row>
    <row r="16" spans="1:40" ht="16.5" customHeight="1" x14ac:dyDescent="0.2">
      <c r="A16" s="43">
        <f t="shared" si="0"/>
        <v>15</v>
      </c>
      <c r="B16" s="43">
        <f t="shared" si="1"/>
        <v>10</v>
      </c>
      <c r="C16" s="220" t="s">
        <v>436</v>
      </c>
      <c r="D16" s="190">
        <v>7.4652777777777781E-3</v>
      </c>
      <c r="E16" s="190">
        <v>3.4722222222222186E-4</v>
      </c>
      <c r="F16" s="95">
        <f t="shared" si="2"/>
        <v>1.6782407407407397E-3</v>
      </c>
      <c r="G16" s="95">
        <v>7.69675925925926E-3</v>
      </c>
      <c r="H16" s="95">
        <f t="shared" si="3"/>
        <v>7.3495370370370381E-3</v>
      </c>
      <c r="I16" s="95">
        <f t="shared" si="4"/>
        <v>9.0277777777777769E-3</v>
      </c>
      <c r="J16" s="95">
        <f t="shared" si="5"/>
        <v>1.1574074074074004E-4</v>
      </c>
      <c r="K16" s="59">
        <f t="shared" si="6"/>
        <v>61.11</v>
      </c>
      <c r="L16" s="225"/>
      <c r="N16" s="92">
        <f t="shared" si="8"/>
        <v>7.3495370370370381E-3</v>
      </c>
      <c r="O16" s="43">
        <f t="shared" si="9"/>
        <v>43</v>
      </c>
      <c r="P16" s="150" t="e">
        <f t="shared" si="10"/>
        <v>#N/A</v>
      </c>
      <c r="Q16" s="43" t="e">
        <f t="shared" si="11"/>
        <v>#N/A</v>
      </c>
      <c r="S16" s="173"/>
      <c r="T16" s="43">
        <v>15</v>
      </c>
      <c r="U16" s="43">
        <v>36</v>
      </c>
      <c r="V16" s="220" t="s">
        <v>191</v>
      </c>
      <c r="W16" s="92">
        <v>7.4884259259259253E-3</v>
      </c>
      <c r="X16" s="92">
        <f t="shared" si="7"/>
        <v>2.4961419753086419E-3</v>
      </c>
      <c r="Y16" s="152"/>
      <c r="Z16" s="43">
        <v>15</v>
      </c>
      <c r="AA16" s="43">
        <v>45</v>
      </c>
      <c r="AB16" s="220" t="s">
        <v>396</v>
      </c>
      <c r="AC16" s="150">
        <v>0.76029999999999998</v>
      </c>
      <c r="AD16" s="113">
        <f>VLOOKUP(C16,'Progress points - Male'!$A$5:$D$218,4,FALSE)</f>
        <v>27741</v>
      </c>
      <c r="AK16" s="124"/>
      <c r="AL16" s="124"/>
      <c r="AN16" s="124"/>
    </row>
    <row r="17" spans="1:40" ht="16.5" customHeight="1" x14ac:dyDescent="0.2">
      <c r="A17" s="43">
        <f t="shared" si="0"/>
        <v>16</v>
      </c>
      <c r="B17" s="43">
        <f t="shared" si="1"/>
        <v>7</v>
      </c>
      <c r="C17" s="220" t="s">
        <v>127</v>
      </c>
      <c r="D17" s="190">
        <v>7.2337962962962963E-3</v>
      </c>
      <c r="E17" s="190">
        <v>5.7870370370370367E-4</v>
      </c>
      <c r="F17" s="95">
        <f t="shared" si="2"/>
        <v>1.9097222222222215E-3</v>
      </c>
      <c r="G17" s="95">
        <v>7.719907407407408E-3</v>
      </c>
      <c r="H17" s="95">
        <f t="shared" si="3"/>
        <v>7.1412037037037043E-3</v>
      </c>
      <c r="I17" s="95">
        <f t="shared" si="4"/>
        <v>9.0509259259259258E-3</v>
      </c>
      <c r="J17" s="95">
        <f t="shared" si="5"/>
        <v>9.2592592592592032E-5</v>
      </c>
      <c r="K17" s="59">
        <f t="shared" si="6"/>
        <v>58.33</v>
      </c>
      <c r="L17" s="225"/>
      <c r="N17" s="92">
        <f t="shared" si="8"/>
        <v>7.1412037037037043E-3</v>
      </c>
      <c r="O17" s="43">
        <f t="shared" si="9"/>
        <v>43</v>
      </c>
      <c r="P17" s="150" t="e">
        <f t="shared" si="10"/>
        <v>#N/A</v>
      </c>
      <c r="Q17" s="43" t="e">
        <f t="shared" si="11"/>
        <v>#N/A</v>
      </c>
      <c r="S17" s="173"/>
      <c r="T17" s="43">
        <v>16</v>
      </c>
      <c r="U17" s="43">
        <v>47</v>
      </c>
      <c r="V17" s="220" t="s">
        <v>59</v>
      </c>
      <c r="W17" s="92">
        <v>7.5578703703703702E-3</v>
      </c>
      <c r="X17" s="92">
        <f t="shared" si="7"/>
        <v>2.5192901234567899E-3</v>
      </c>
      <c r="Y17" s="152"/>
      <c r="Z17" s="43">
        <v>16</v>
      </c>
      <c r="AA17" s="43">
        <v>44</v>
      </c>
      <c r="AB17" s="220" t="s">
        <v>258</v>
      </c>
      <c r="AC17" s="150">
        <v>0.75570000000000004</v>
      </c>
      <c r="AD17" s="113">
        <f>VLOOKUP(C17,'Progress points - Male'!$A$5:$D$218,4,FALSE)</f>
        <v>27654</v>
      </c>
      <c r="AK17" s="124"/>
      <c r="AL17" s="124"/>
      <c r="AN17" s="124"/>
    </row>
    <row r="18" spans="1:40" ht="16.5" customHeight="1" x14ac:dyDescent="0.2">
      <c r="A18" s="43">
        <f t="shared" si="0"/>
        <v>16</v>
      </c>
      <c r="B18" s="43">
        <f t="shared" si="1"/>
        <v>1</v>
      </c>
      <c r="C18" s="220" t="s">
        <v>145</v>
      </c>
      <c r="D18" s="190">
        <v>6.6550925925925935E-3</v>
      </c>
      <c r="E18" s="190">
        <v>1.1574074074074065E-3</v>
      </c>
      <c r="F18" s="95">
        <f t="shared" si="2"/>
        <v>2.4884259259259243E-3</v>
      </c>
      <c r="G18" s="95">
        <v>7.719907407407408E-3</v>
      </c>
      <c r="H18" s="95">
        <f t="shared" si="3"/>
        <v>6.5625000000000015E-3</v>
      </c>
      <c r="I18" s="95">
        <f t="shared" si="4"/>
        <v>9.0509259259259258E-3</v>
      </c>
      <c r="J18" s="95">
        <f t="shared" si="5"/>
        <v>9.2592592592592032E-5</v>
      </c>
      <c r="K18" s="59">
        <f t="shared" si="6"/>
        <v>58.33</v>
      </c>
      <c r="L18" s="225"/>
      <c r="N18" s="92">
        <f t="shared" si="8"/>
        <v>6.5625000000000015E-3</v>
      </c>
      <c r="O18" s="43">
        <f t="shared" si="9"/>
        <v>35</v>
      </c>
      <c r="P18" s="150" t="e">
        <f t="shared" si="10"/>
        <v>#N/A</v>
      </c>
      <c r="Q18" s="43" t="e">
        <f t="shared" si="11"/>
        <v>#N/A</v>
      </c>
      <c r="S18" s="173"/>
      <c r="T18" s="43">
        <v>17</v>
      </c>
      <c r="U18" s="43">
        <v>37</v>
      </c>
      <c r="V18" s="219" t="s">
        <v>257</v>
      </c>
      <c r="W18" s="92">
        <v>7.6620370370370366E-3</v>
      </c>
      <c r="X18" s="92">
        <f t="shared" si="7"/>
        <v>2.5540123456790124E-3</v>
      </c>
      <c r="Y18" s="152"/>
      <c r="Z18" s="43">
        <v>17</v>
      </c>
      <c r="AA18" s="43">
        <v>40</v>
      </c>
      <c r="AB18" s="220" t="s">
        <v>45</v>
      </c>
      <c r="AC18" s="150">
        <v>0.75460000000000005</v>
      </c>
      <c r="AD18" s="113">
        <f>VLOOKUP(C18,'Progress points - Male'!$A$5:$D$218,4,FALSE)</f>
        <v>30631</v>
      </c>
      <c r="AK18" s="124"/>
      <c r="AL18" s="124"/>
      <c r="AN18" s="124"/>
    </row>
    <row r="19" spans="1:40" ht="16.5" customHeight="1" x14ac:dyDescent="0.2">
      <c r="A19" s="43">
        <f t="shared" si="0"/>
        <v>18</v>
      </c>
      <c r="B19" s="43">
        <f t="shared" si="1"/>
        <v>32</v>
      </c>
      <c r="C19" s="219" t="s">
        <v>124</v>
      </c>
      <c r="D19" s="190">
        <v>8.3333333333333332E-3</v>
      </c>
      <c r="E19" s="190">
        <v>1.7361111111111119E-3</v>
      </c>
      <c r="F19" s="95">
        <f t="shared" si="2"/>
        <v>8.1018518518518462E-4</v>
      </c>
      <c r="G19" s="95">
        <v>1.0011574074074074E-2</v>
      </c>
      <c r="H19" s="95">
        <f t="shared" si="3"/>
        <v>8.2754629629629619E-3</v>
      </c>
      <c r="I19" s="95">
        <f t="shared" si="4"/>
        <v>9.0856481481481465E-3</v>
      </c>
      <c r="J19" s="95">
        <f t="shared" si="5"/>
        <v>5.7870370370371321E-5</v>
      </c>
      <c r="K19" s="59">
        <f t="shared" si="6"/>
        <v>52.78</v>
      </c>
      <c r="L19" s="225"/>
      <c r="N19" s="92">
        <f t="shared" si="8"/>
        <v>8.2754629629629619E-3</v>
      </c>
      <c r="O19" s="43">
        <f t="shared" si="9"/>
        <v>44</v>
      </c>
      <c r="P19" s="150" t="e">
        <f t="shared" si="10"/>
        <v>#N/A</v>
      </c>
      <c r="Q19" s="43" t="e">
        <f t="shared" si="11"/>
        <v>#N/A</v>
      </c>
      <c r="S19" s="173"/>
      <c r="T19" s="43">
        <v>18</v>
      </c>
      <c r="U19" s="43">
        <v>47</v>
      </c>
      <c r="V19" s="220" t="s">
        <v>160</v>
      </c>
      <c r="W19" s="92">
        <v>7.7314814814814807E-3</v>
      </c>
      <c r="X19" s="92">
        <f t="shared" si="7"/>
        <v>2.5771604938271604E-3</v>
      </c>
      <c r="Y19" s="152"/>
      <c r="Z19" s="43">
        <v>18</v>
      </c>
      <c r="AA19" s="43">
        <v>47</v>
      </c>
      <c r="AB19" s="220" t="s">
        <v>59</v>
      </c>
      <c r="AC19" s="150">
        <v>0.75219999999999998</v>
      </c>
      <c r="AD19" s="113">
        <f>VLOOKUP(C19,'Progress points - Male'!$A$5:$D$218,4,FALSE)</f>
        <v>27347</v>
      </c>
      <c r="AK19" s="124"/>
      <c r="AL19" s="124"/>
      <c r="AN19" s="124"/>
    </row>
    <row r="20" spans="1:40" ht="16.5" customHeight="1" x14ac:dyDescent="0.2">
      <c r="A20" s="43">
        <f t="shared" si="0"/>
        <v>19</v>
      </c>
      <c r="B20" s="43">
        <f t="shared" si="1"/>
        <v>21</v>
      </c>
      <c r="C20" s="219" t="s">
        <v>287</v>
      </c>
      <c r="D20" s="190">
        <v>7.8703703703703713E-3</v>
      </c>
      <c r="E20" s="190">
        <v>2.1990740740740738E-3</v>
      </c>
      <c r="F20" s="95">
        <f t="shared" si="2"/>
        <v>1.2731481481481465E-3</v>
      </c>
      <c r="G20" s="95">
        <v>1.0034722222222221E-2</v>
      </c>
      <c r="H20" s="95">
        <f t="shared" si="3"/>
        <v>7.8356481481481471E-3</v>
      </c>
      <c r="I20" s="95">
        <f t="shared" si="4"/>
        <v>9.1087962962962937E-3</v>
      </c>
      <c r="J20" s="95">
        <f t="shared" si="5"/>
        <v>3.4722222222224181E-5</v>
      </c>
      <c r="K20" s="59">
        <f t="shared" si="6"/>
        <v>50</v>
      </c>
      <c r="L20" s="225"/>
      <c r="N20" s="92">
        <f t="shared" si="8"/>
        <v>7.8356481481481471E-3</v>
      </c>
      <c r="O20" s="43">
        <f t="shared" si="9"/>
        <v>36</v>
      </c>
      <c r="P20" s="150" t="e">
        <f t="shared" si="10"/>
        <v>#N/A</v>
      </c>
      <c r="Q20" s="43" t="e">
        <f t="shared" si="11"/>
        <v>#N/A</v>
      </c>
      <c r="S20" s="173"/>
      <c r="T20" s="43">
        <v>19</v>
      </c>
      <c r="U20" s="43">
        <v>49</v>
      </c>
      <c r="V20" s="220" t="s">
        <v>55</v>
      </c>
      <c r="W20" s="92">
        <v>7.766203703703704E-3</v>
      </c>
      <c r="X20" s="92">
        <f t="shared" si="7"/>
        <v>2.5887345679012348E-3</v>
      </c>
      <c r="Y20" s="152"/>
      <c r="Z20" s="43">
        <v>19</v>
      </c>
      <c r="AA20" s="43">
        <v>43</v>
      </c>
      <c r="AB20" s="220" t="s">
        <v>436</v>
      </c>
      <c r="AC20" s="150">
        <v>0.74990000000000001</v>
      </c>
      <c r="AD20" s="113">
        <f>VLOOKUP(C20,'Progress points - Male'!$A$5:$D$218,4,FALSE)</f>
        <v>30232</v>
      </c>
      <c r="AK20" s="124"/>
      <c r="AL20" s="124"/>
      <c r="AN20" s="124"/>
    </row>
    <row r="21" spans="1:40" ht="16.5" customHeight="1" x14ac:dyDescent="0.2">
      <c r="A21" s="43">
        <f t="shared" si="0"/>
        <v>20</v>
      </c>
      <c r="B21" s="43">
        <f t="shared" si="1"/>
        <v>3</v>
      </c>
      <c r="C21" s="220" t="s">
        <v>32</v>
      </c>
      <c r="D21" s="190">
        <v>6.7708333333333336E-3</v>
      </c>
      <c r="E21" s="190">
        <v>1.0416666666666664E-3</v>
      </c>
      <c r="F21" s="95">
        <f t="shared" si="2"/>
        <v>2.3726851851851843E-3</v>
      </c>
      <c r="G21" s="95">
        <v>7.7777777777777767E-3</v>
      </c>
      <c r="H21" s="95">
        <f t="shared" si="3"/>
        <v>6.7361111111111103E-3</v>
      </c>
      <c r="I21" s="95">
        <f t="shared" si="4"/>
        <v>9.1087962962962954E-3</v>
      </c>
      <c r="J21" s="95">
        <f t="shared" si="5"/>
        <v>3.4722222222223313E-5</v>
      </c>
      <c r="K21" s="59">
        <f t="shared" si="6"/>
        <v>47.22</v>
      </c>
      <c r="L21" s="225"/>
      <c r="N21" s="92">
        <f t="shared" si="8"/>
        <v>6.7361111111111103E-3</v>
      </c>
      <c r="O21" s="43">
        <f t="shared" si="9"/>
        <v>44</v>
      </c>
      <c r="P21" s="150" t="e">
        <f t="shared" si="10"/>
        <v>#N/A</v>
      </c>
      <c r="Q21" s="43" t="e">
        <f t="shared" si="11"/>
        <v>#N/A</v>
      </c>
      <c r="S21" s="173"/>
      <c r="T21" s="43">
        <v>20</v>
      </c>
      <c r="U21" s="43">
        <v>39</v>
      </c>
      <c r="V21" s="219" t="s">
        <v>321</v>
      </c>
      <c r="W21" s="92">
        <v>7.8009259259259247E-3</v>
      </c>
      <c r="X21" s="92">
        <f t="shared" si="7"/>
        <v>2.6003086419753084E-3</v>
      </c>
      <c r="Y21" s="152"/>
      <c r="Z21" s="43">
        <v>20</v>
      </c>
      <c r="AA21" s="43">
        <v>49</v>
      </c>
      <c r="AB21" s="220" t="s">
        <v>55</v>
      </c>
      <c r="AC21" s="150">
        <v>0.74370000000000003</v>
      </c>
      <c r="AD21" s="113">
        <f>VLOOKUP(C21,'Progress points - Male'!$A$5:$D$218,4,FALSE)</f>
        <v>27386</v>
      </c>
      <c r="AK21" s="124"/>
      <c r="AL21" s="124"/>
      <c r="AN21" s="124"/>
    </row>
    <row r="22" spans="1:40" ht="16.5" customHeight="1" x14ac:dyDescent="0.2">
      <c r="A22" s="43">
        <f t="shared" si="0"/>
        <v>21</v>
      </c>
      <c r="B22" s="43">
        <f t="shared" si="1"/>
        <v>26</v>
      </c>
      <c r="C22" s="219" t="s">
        <v>69</v>
      </c>
      <c r="D22" s="190">
        <v>7.9861111111111122E-3</v>
      </c>
      <c r="E22" s="190">
        <v>2.0833333333333329E-3</v>
      </c>
      <c r="F22" s="95">
        <f t="shared" si="2"/>
        <v>1.1574074074074056E-3</v>
      </c>
      <c r="G22" s="95">
        <v>1.0046296296296296E-2</v>
      </c>
      <c r="H22" s="95">
        <f t="shared" si="3"/>
        <v>7.9629629629629634E-3</v>
      </c>
      <c r="I22" s="95">
        <f t="shared" si="4"/>
        <v>9.120370370370369E-3</v>
      </c>
      <c r="J22" s="95">
        <f t="shared" si="5"/>
        <v>2.3148148148148875E-5</v>
      </c>
      <c r="K22" s="59">
        <f t="shared" si="6"/>
        <v>44.44</v>
      </c>
      <c r="L22" s="225"/>
      <c r="N22" s="92">
        <f t="shared" si="8"/>
        <v>7.9629629629629634E-3</v>
      </c>
      <c r="O22" s="43">
        <f t="shared" si="9"/>
        <v>48</v>
      </c>
      <c r="P22" s="150" t="e">
        <f t="shared" si="10"/>
        <v>#N/A</v>
      </c>
      <c r="Q22" s="43" t="e">
        <f t="shared" si="11"/>
        <v>#N/A</v>
      </c>
      <c r="S22" s="173"/>
      <c r="T22" s="43">
        <v>21</v>
      </c>
      <c r="U22" s="43">
        <v>39</v>
      </c>
      <c r="V22" s="219" t="s">
        <v>197</v>
      </c>
      <c r="W22" s="92">
        <v>7.8356481481481471E-3</v>
      </c>
      <c r="X22" s="92">
        <f t="shared" si="7"/>
        <v>2.6118827160493824E-3</v>
      </c>
      <c r="Y22" s="152"/>
      <c r="Z22" s="43">
        <v>21</v>
      </c>
      <c r="AA22" s="43">
        <v>47</v>
      </c>
      <c r="AB22" s="220" t="s">
        <v>160</v>
      </c>
      <c r="AC22" s="150">
        <v>0.73529999999999995</v>
      </c>
      <c r="AD22" s="113">
        <f>VLOOKUP(C22,'Progress points - Male'!$A$5:$D$218,4,FALSE)</f>
        <v>25984</v>
      </c>
      <c r="AK22" s="124"/>
      <c r="AL22" s="124"/>
      <c r="AN22" s="124"/>
    </row>
    <row r="23" spans="1:40" ht="16.5" customHeight="1" x14ac:dyDescent="0.2">
      <c r="A23" s="43">
        <f t="shared" si="0"/>
        <v>22</v>
      </c>
      <c r="B23" s="43">
        <f t="shared" si="1"/>
        <v>34</v>
      </c>
      <c r="C23" s="219" t="s">
        <v>67</v>
      </c>
      <c r="D23" s="190">
        <v>8.5069444444444437E-3</v>
      </c>
      <c r="E23" s="190">
        <v>1.5625000000000014E-3</v>
      </c>
      <c r="F23" s="95">
        <f t="shared" si="2"/>
        <v>6.3657407407407413E-4</v>
      </c>
      <c r="G23" s="95">
        <v>1.0069444444444445E-2</v>
      </c>
      <c r="H23" s="95">
        <f t="shared" si="3"/>
        <v>8.5069444444444437E-3</v>
      </c>
      <c r="I23" s="95">
        <f t="shared" si="4"/>
        <v>9.1435185185185178E-3</v>
      </c>
      <c r="J23" s="95">
        <f t="shared" si="5"/>
        <v>0</v>
      </c>
      <c r="K23" s="59">
        <f t="shared" si="6"/>
        <v>41.67</v>
      </c>
      <c r="L23" s="225"/>
      <c r="N23" s="92">
        <f t="shared" si="8"/>
        <v>8.5069444444444437E-3</v>
      </c>
      <c r="O23" s="43">
        <f t="shared" si="9"/>
        <v>44</v>
      </c>
      <c r="P23" s="150" t="e">
        <f t="shared" si="10"/>
        <v>#N/A</v>
      </c>
      <c r="Q23" s="43" t="e">
        <f t="shared" si="11"/>
        <v>#N/A</v>
      </c>
      <c r="S23" s="173"/>
      <c r="T23" s="43">
        <v>22</v>
      </c>
      <c r="U23" s="43">
        <v>36</v>
      </c>
      <c r="V23" s="219" t="s">
        <v>287</v>
      </c>
      <c r="W23" s="92">
        <v>7.8356481481481471E-3</v>
      </c>
      <c r="X23" s="92">
        <f t="shared" si="7"/>
        <v>2.6118827160493824E-3</v>
      </c>
      <c r="Y23" s="152"/>
      <c r="Z23" s="43">
        <v>22</v>
      </c>
      <c r="AA23" s="43">
        <v>37</v>
      </c>
      <c r="AB23" s="219" t="s">
        <v>407</v>
      </c>
      <c r="AC23" s="150">
        <v>0.72670000000000001</v>
      </c>
      <c r="AD23" s="113">
        <f>VLOOKUP(C23,'Progress points - Male'!$A$5:$D$218,4,FALSE)</f>
        <v>27344</v>
      </c>
      <c r="AK23" s="124"/>
      <c r="AL23" s="124"/>
      <c r="AN23" s="124"/>
    </row>
    <row r="24" spans="1:40" ht="16.5" customHeight="1" x14ac:dyDescent="0.2">
      <c r="A24" s="43">
        <f t="shared" si="0"/>
        <v>23</v>
      </c>
      <c r="B24" s="43">
        <f t="shared" si="1"/>
        <v>19</v>
      </c>
      <c r="C24" s="220" t="s">
        <v>55</v>
      </c>
      <c r="D24" s="190">
        <v>7.7546296296296287E-3</v>
      </c>
      <c r="E24" s="190">
        <v>5.7870370370371321E-5</v>
      </c>
      <c r="F24" s="95">
        <f t="shared" si="2"/>
        <v>1.3888888888888892E-3</v>
      </c>
      <c r="G24" s="95">
        <v>7.8240740740740753E-3</v>
      </c>
      <c r="H24" s="95">
        <f t="shared" si="3"/>
        <v>7.766203703703704E-3</v>
      </c>
      <c r="I24" s="95">
        <f t="shared" si="4"/>
        <v>9.1550925925925931E-3</v>
      </c>
      <c r="J24" s="95">
        <f t="shared" si="5"/>
        <v>1.1574074074075305E-5</v>
      </c>
      <c r="K24" s="59">
        <f t="shared" si="6"/>
        <v>38.89</v>
      </c>
      <c r="L24" s="225"/>
      <c r="N24" s="92">
        <f t="shared" si="8"/>
        <v>7.766203703703704E-3</v>
      </c>
      <c r="O24" s="43">
        <f t="shared" si="9"/>
        <v>49</v>
      </c>
      <c r="P24" s="150" t="e">
        <f t="shared" si="10"/>
        <v>#N/A</v>
      </c>
      <c r="Q24" s="43" t="e">
        <f t="shared" si="11"/>
        <v>#N/A</v>
      </c>
      <c r="S24" s="173"/>
      <c r="T24" s="43">
        <v>23</v>
      </c>
      <c r="U24" s="43">
        <v>47</v>
      </c>
      <c r="V24" s="219" t="s">
        <v>132</v>
      </c>
      <c r="W24" s="92">
        <v>7.858796296296296E-3</v>
      </c>
      <c r="X24" s="92">
        <f t="shared" si="7"/>
        <v>2.6195987654320987E-3</v>
      </c>
      <c r="Y24" s="152"/>
      <c r="Z24" s="43">
        <v>23</v>
      </c>
      <c r="AA24" s="43">
        <v>48</v>
      </c>
      <c r="AB24" s="219" t="s">
        <v>69</v>
      </c>
      <c r="AC24" s="150">
        <v>0.71950000000000003</v>
      </c>
      <c r="AD24" s="113">
        <f>VLOOKUP(C24,'Progress points - Male'!$A$5:$D$218,4,FALSE)</f>
        <v>25581</v>
      </c>
      <c r="AK24" s="124"/>
      <c r="AL24" s="124"/>
      <c r="AN24" s="124"/>
    </row>
    <row r="25" spans="1:40" ht="16.5" customHeight="1" x14ac:dyDescent="0.2">
      <c r="A25" s="43">
        <f t="shared" si="0"/>
        <v>24</v>
      </c>
      <c r="B25" s="43">
        <f t="shared" si="1"/>
        <v>4</v>
      </c>
      <c r="C25" s="220" t="s">
        <v>85</v>
      </c>
      <c r="D25" s="190">
        <v>6.7708333333333336E-3</v>
      </c>
      <c r="E25" s="190">
        <v>1.0416666666666664E-3</v>
      </c>
      <c r="F25" s="95">
        <f t="shared" si="2"/>
        <v>2.3726851851851843E-3</v>
      </c>
      <c r="G25" s="95">
        <v>7.858796296296296E-3</v>
      </c>
      <c r="H25" s="95">
        <f t="shared" si="3"/>
        <v>6.8171296296296296E-3</v>
      </c>
      <c r="I25" s="95">
        <f t="shared" si="4"/>
        <v>9.1898148148148139E-3</v>
      </c>
      <c r="J25" s="95">
        <f t="shared" si="5"/>
        <v>4.6296296296296016E-5</v>
      </c>
      <c r="K25" s="59">
        <f t="shared" si="6"/>
        <v>36.11</v>
      </c>
      <c r="L25" s="225"/>
      <c r="N25" s="92">
        <f t="shared" si="8"/>
        <v>6.8171296296296296E-3</v>
      </c>
      <c r="O25" s="43">
        <f t="shared" si="9"/>
        <v>44</v>
      </c>
      <c r="P25" s="150" t="e">
        <f t="shared" si="10"/>
        <v>#N/A</v>
      </c>
      <c r="Q25" s="43" t="e">
        <f t="shared" si="11"/>
        <v>#N/A</v>
      </c>
      <c r="S25" s="173"/>
      <c r="T25" s="43">
        <v>24</v>
      </c>
      <c r="U25" s="43">
        <v>41</v>
      </c>
      <c r="V25" s="220" t="s">
        <v>46</v>
      </c>
      <c r="W25" s="92">
        <v>7.858796296296296E-3</v>
      </c>
      <c r="X25" s="92">
        <f t="shared" si="7"/>
        <v>2.6195987654320987E-3</v>
      </c>
      <c r="Y25" s="152"/>
      <c r="Z25" s="43">
        <v>24</v>
      </c>
      <c r="AA25" s="43">
        <v>48</v>
      </c>
      <c r="AB25" s="219" t="s">
        <v>353</v>
      </c>
      <c r="AC25" s="150">
        <v>0.71950000000000003</v>
      </c>
      <c r="AD25" s="113">
        <f>VLOOKUP(C25,'Progress points - Male'!$A$5:$D$218,4,FALSE)</f>
        <v>27296</v>
      </c>
      <c r="AJ25" s="13"/>
      <c r="AK25" s="124"/>
      <c r="AL25" s="124"/>
      <c r="AN25" s="124"/>
    </row>
    <row r="26" spans="1:40" ht="16.5" customHeight="1" x14ac:dyDescent="0.2">
      <c r="A26" s="43">
        <f t="shared" si="0"/>
        <v>25</v>
      </c>
      <c r="B26" s="43">
        <f t="shared" si="1"/>
        <v>26</v>
      </c>
      <c r="C26" s="219" t="s">
        <v>353</v>
      </c>
      <c r="D26" s="190">
        <v>7.8703703703703713E-3</v>
      </c>
      <c r="E26" s="190">
        <v>2.1990740740740738E-3</v>
      </c>
      <c r="F26" s="95">
        <f t="shared" si="2"/>
        <v>1.2731481481481465E-3</v>
      </c>
      <c r="G26" s="95">
        <v>1.0162037037037037E-2</v>
      </c>
      <c r="H26" s="95">
        <f t="shared" si="3"/>
        <v>7.9629629629629634E-3</v>
      </c>
      <c r="I26" s="95">
        <f t="shared" si="4"/>
        <v>9.2361111111111099E-3</v>
      </c>
      <c r="J26" s="95">
        <f t="shared" si="5"/>
        <v>9.2592592592592032E-5</v>
      </c>
      <c r="K26" s="59">
        <f t="shared" si="6"/>
        <v>33.33</v>
      </c>
      <c r="L26" s="225"/>
      <c r="N26" s="92">
        <f t="shared" si="8"/>
        <v>7.9629629629629634E-3</v>
      </c>
      <c r="O26" s="43">
        <f t="shared" si="9"/>
        <v>48</v>
      </c>
      <c r="P26" s="150" t="e">
        <f t="shared" si="10"/>
        <v>#N/A</v>
      </c>
      <c r="Q26" s="43" t="e">
        <f t="shared" si="11"/>
        <v>#N/A</v>
      </c>
      <c r="S26" s="173"/>
      <c r="T26" s="43">
        <v>25</v>
      </c>
      <c r="U26" s="43">
        <v>37</v>
      </c>
      <c r="V26" s="220" t="s">
        <v>80</v>
      </c>
      <c r="W26" s="92">
        <v>7.951388888888888E-3</v>
      </c>
      <c r="X26" s="92">
        <f t="shared" si="7"/>
        <v>2.6504629629629625E-3</v>
      </c>
      <c r="Y26" s="152"/>
      <c r="Z26" s="43">
        <v>25</v>
      </c>
      <c r="AA26" s="43">
        <v>34</v>
      </c>
      <c r="AB26" s="219" t="s">
        <v>134</v>
      </c>
      <c r="AC26" s="150">
        <v>0.70720000000000005</v>
      </c>
      <c r="AD26" s="113">
        <f>VLOOKUP(C26,'Progress points - Male'!$A$5:$D$218,4,FALSE)</f>
        <v>26030</v>
      </c>
      <c r="AK26" s="124"/>
      <c r="AL26" s="124"/>
      <c r="AN26" s="124"/>
    </row>
    <row r="27" spans="1:40" ht="16.5" customHeight="1" x14ac:dyDescent="0.2">
      <c r="A27" s="43">
        <f t="shared" si="0"/>
        <v>26</v>
      </c>
      <c r="B27" s="43">
        <f t="shared" si="1"/>
        <v>23</v>
      </c>
      <c r="C27" s="220" t="s">
        <v>46</v>
      </c>
      <c r="D27" s="190">
        <v>7.7546296296296287E-3</v>
      </c>
      <c r="E27" s="190">
        <v>5.7870370370371321E-5</v>
      </c>
      <c r="F27" s="95">
        <f t="shared" si="2"/>
        <v>1.3888888888888892E-3</v>
      </c>
      <c r="G27" s="95">
        <v>7.9166666666666673E-3</v>
      </c>
      <c r="H27" s="95">
        <f t="shared" si="3"/>
        <v>7.858796296296296E-3</v>
      </c>
      <c r="I27" s="95">
        <f t="shared" si="4"/>
        <v>9.2476851851851852E-3</v>
      </c>
      <c r="J27" s="95">
        <f t="shared" si="5"/>
        <v>1.0416666666666734E-4</v>
      </c>
      <c r="K27" s="59">
        <f t="shared" si="6"/>
        <v>30.56</v>
      </c>
      <c r="L27" s="225"/>
      <c r="N27" s="92">
        <f t="shared" si="8"/>
        <v>7.858796296296296E-3</v>
      </c>
      <c r="O27" s="43">
        <f t="shared" si="9"/>
        <v>41</v>
      </c>
      <c r="P27" s="150" t="e">
        <f t="shared" si="10"/>
        <v>#N/A</v>
      </c>
      <c r="Q27" s="43" t="e">
        <f t="shared" si="11"/>
        <v>#N/A</v>
      </c>
      <c r="S27" s="173"/>
      <c r="T27" s="43">
        <v>26</v>
      </c>
      <c r="U27" s="43">
        <v>48</v>
      </c>
      <c r="V27" s="219" t="s">
        <v>69</v>
      </c>
      <c r="W27" s="92">
        <v>7.9629629629629634E-3</v>
      </c>
      <c r="X27" s="92">
        <f t="shared" si="7"/>
        <v>2.6543209876543211E-3</v>
      </c>
      <c r="Y27" s="152"/>
      <c r="Z27" s="43">
        <v>26</v>
      </c>
      <c r="AA27" s="43">
        <v>47</v>
      </c>
      <c r="AB27" s="219" t="s">
        <v>169</v>
      </c>
      <c r="AC27" s="150">
        <v>0.69969999999999999</v>
      </c>
      <c r="AD27" s="113">
        <f>VLOOKUP(C27,'Progress points - Male'!$A$5:$D$218,4,FALSE)</f>
        <v>28398</v>
      </c>
      <c r="AJ27" s="13"/>
      <c r="AK27" s="124"/>
      <c r="AL27" s="124"/>
      <c r="AN27" s="124"/>
    </row>
    <row r="28" spans="1:40" ht="16.5" customHeight="1" x14ac:dyDescent="0.2">
      <c r="A28" s="43">
        <f t="shared" si="0"/>
        <v>26</v>
      </c>
      <c r="B28" s="43">
        <f t="shared" si="1"/>
        <v>5</v>
      </c>
      <c r="C28" s="220" t="s">
        <v>74</v>
      </c>
      <c r="D28" s="190">
        <v>6.8865740740740736E-3</v>
      </c>
      <c r="E28" s="190">
        <v>9.2592592592592639E-4</v>
      </c>
      <c r="F28" s="95">
        <f t="shared" si="2"/>
        <v>2.2569444444444442E-3</v>
      </c>
      <c r="G28" s="95">
        <v>7.9166666666666673E-3</v>
      </c>
      <c r="H28" s="95">
        <f t="shared" si="3"/>
        <v>6.9907407407407409E-3</v>
      </c>
      <c r="I28" s="95">
        <f t="shared" si="4"/>
        <v>9.2476851851851852E-3</v>
      </c>
      <c r="J28" s="95">
        <f t="shared" si="5"/>
        <v>1.0416666666666734E-4</v>
      </c>
      <c r="K28" s="59">
        <f t="shared" si="6"/>
        <v>30.56</v>
      </c>
      <c r="L28" s="225"/>
      <c r="N28" s="92">
        <f t="shared" si="8"/>
        <v>6.9907407407407409E-3</v>
      </c>
      <c r="O28" s="43">
        <f t="shared" si="9"/>
        <v>42</v>
      </c>
      <c r="P28" s="150" t="e">
        <f t="shared" si="10"/>
        <v>#N/A</v>
      </c>
      <c r="Q28" s="43" t="e">
        <f t="shared" si="11"/>
        <v>#N/A</v>
      </c>
      <c r="S28" s="173"/>
      <c r="T28" s="43">
        <v>27</v>
      </c>
      <c r="U28" s="43">
        <v>48</v>
      </c>
      <c r="V28" s="219" t="s">
        <v>353</v>
      </c>
      <c r="W28" s="92">
        <v>7.9629629629629634E-3</v>
      </c>
      <c r="X28" s="92">
        <f t="shared" si="7"/>
        <v>2.6543209876543211E-3</v>
      </c>
      <c r="Y28" s="152"/>
      <c r="Z28" s="43">
        <v>27</v>
      </c>
      <c r="AA28" s="43">
        <v>36</v>
      </c>
      <c r="AB28" s="220" t="s">
        <v>191</v>
      </c>
      <c r="AC28" s="150">
        <v>0.69899999999999995</v>
      </c>
      <c r="AD28" s="113">
        <f>VLOOKUP(C28,'Progress points - Male'!$A$5:$D$218,4,FALSE)</f>
        <v>28179</v>
      </c>
      <c r="AK28" s="124"/>
      <c r="AL28" s="124"/>
      <c r="AN28" s="124"/>
    </row>
    <row r="29" spans="1:40" ht="16.5" customHeight="1" x14ac:dyDescent="0.2">
      <c r="A29" s="43">
        <f t="shared" si="0"/>
        <v>28</v>
      </c>
      <c r="B29" s="43">
        <f t="shared" si="1"/>
        <v>13</v>
      </c>
      <c r="C29" s="220" t="s">
        <v>76</v>
      </c>
      <c r="D29" s="190">
        <v>7.2916666666666659E-3</v>
      </c>
      <c r="E29" s="190">
        <v>5.2083333333333409E-4</v>
      </c>
      <c r="F29" s="95">
        <f t="shared" si="2"/>
        <v>1.8518518518518519E-3</v>
      </c>
      <c r="G29" s="95">
        <v>7.951388888888888E-3</v>
      </c>
      <c r="H29" s="95">
        <f t="shared" si="3"/>
        <v>7.430555555555554E-3</v>
      </c>
      <c r="I29" s="95">
        <f t="shared" si="4"/>
        <v>9.2824074074074059E-3</v>
      </c>
      <c r="J29" s="95">
        <f t="shared" si="5"/>
        <v>1.3888888888888805E-4</v>
      </c>
      <c r="K29" s="59">
        <f t="shared" si="6"/>
        <v>25</v>
      </c>
      <c r="L29" s="225"/>
      <c r="N29" s="92">
        <f t="shared" si="8"/>
        <v>7.430555555555554E-3</v>
      </c>
      <c r="O29" s="43">
        <f t="shared" si="9"/>
        <v>48</v>
      </c>
      <c r="P29" s="150" t="e">
        <f t="shared" si="10"/>
        <v>#N/A</v>
      </c>
      <c r="Q29" s="43" t="e">
        <f t="shared" si="11"/>
        <v>#N/A</v>
      </c>
      <c r="S29" s="173"/>
      <c r="T29" s="43">
        <v>28</v>
      </c>
      <c r="U29" s="43">
        <v>58</v>
      </c>
      <c r="V29" s="219" t="s">
        <v>77</v>
      </c>
      <c r="W29" s="92">
        <v>8.0324074074074082E-3</v>
      </c>
      <c r="X29" s="92">
        <f t="shared" si="7"/>
        <v>2.6774691358024696E-3</v>
      </c>
      <c r="Y29" s="152"/>
      <c r="Z29" s="43">
        <v>28</v>
      </c>
      <c r="AA29" s="43">
        <v>34</v>
      </c>
      <c r="AB29" s="220" t="s">
        <v>173</v>
      </c>
      <c r="AC29" s="150">
        <v>0.69330000000000003</v>
      </c>
      <c r="AD29" s="113">
        <f>VLOOKUP(C29,'Progress points - Male'!$A$5:$D$218,4,FALSE)</f>
        <v>25937</v>
      </c>
      <c r="AK29" s="124"/>
      <c r="AL29" s="124"/>
      <c r="AN29" s="124"/>
    </row>
    <row r="30" spans="1:40" ht="16.5" customHeight="1" x14ac:dyDescent="0.2">
      <c r="A30" s="43">
        <f t="shared" si="0"/>
        <v>29</v>
      </c>
      <c r="B30" s="43">
        <f t="shared" si="1"/>
        <v>28</v>
      </c>
      <c r="C30" s="219" t="s">
        <v>77</v>
      </c>
      <c r="D30" s="190">
        <v>7.8703703703703713E-3</v>
      </c>
      <c r="E30" s="190">
        <v>2.1990740740740738E-3</v>
      </c>
      <c r="F30" s="95">
        <f t="shared" si="2"/>
        <v>1.2731481481481465E-3</v>
      </c>
      <c r="G30" s="95">
        <v>1.0231481481481482E-2</v>
      </c>
      <c r="H30" s="95">
        <f t="shared" si="3"/>
        <v>8.0324074074074082E-3</v>
      </c>
      <c r="I30" s="95">
        <f t="shared" si="4"/>
        <v>9.3055555555555548E-3</v>
      </c>
      <c r="J30" s="95">
        <f t="shared" si="5"/>
        <v>1.6203703703703692E-4</v>
      </c>
      <c r="K30" s="59">
        <f t="shared" si="6"/>
        <v>22.22</v>
      </c>
      <c r="L30" s="225"/>
      <c r="N30" s="92">
        <f t="shared" si="8"/>
        <v>8.0324074074074082E-3</v>
      </c>
      <c r="O30" s="43">
        <f t="shared" si="9"/>
        <v>58</v>
      </c>
      <c r="P30" s="150" t="e">
        <f t="shared" si="10"/>
        <v>#N/A</v>
      </c>
      <c r="Q30" s="43" t="e">
        <f t="shared" si="11"/>
        <v>#N/A</v>
      </c>
      <c r="S30" s="173"/>
      <c r="T30" s="43">
        <v>29</v>
      </c>
      <c r="U30" s="43">
        <v>48</v>
      </c>
      <c r="V30" s="219" t="s">
        <v>119</v>
      </c>
      <c r="W30" s="92">
        <v>8.0787037037037043E-3</v>
      </c>
      <c r="X30" s="92">
        <f t="shared" si="7"/>
        <v>2.6929012345679013E-3</v>
      </c>
      <c r="Y30" s="152"/>
      <c r="Z30" s="43">
        <v>29</v>
      </c>
      <c r="AA30" s="43">
        <v>41</v>
      </c>
      <c r="AB30" s="220" t="s">
        <v>46</v>
      </c>
      <c r="AC30" s="150">
        <v>0.69079999999999997</v>
      </c>
      <c r="AD30" s="113">
        <f>VLOOKUP(C30,'Progress points - Male'!$A$5:$D$218,4,FALSE)</f>
        <v>22192</v>
      </c>
      <c r="AK30" s="124"/>
      <c r="AL30" s="124"/>
      <c r="AN30" s="124"/>
    </row>
    <row r="31" spans="1:40" ht="16.5" customHeight="1" x14ac:dyDescent="0.2">
      <c r="A31" s="43">
        <f t="shared" si="0"/>
        <v>30</v>
      </c>
      <c r="B31" s="43">
        <f t="shared" si="1"/>
        <v>25</v>
      </c>
      <c r="C31" s="220" t="s">
        <v>80</v>
      </c>
      <c r="D31" s="190">
        <v>7.7546296296296287E-3</v>
      </c>
      <c r="E31" s="190">
        <v>5.7870370370371321E-5</v>
      </c>
      <c r="F31" s="95">
        <f t="shared" si="2"/>
        <v>1.3888888888888892E-3</v>
      </c>
      <c r="G31" s="95">
        <v>8.0092592592592594E-3</v>
      </c>
      <c r="H31" s="95">
        <f t="shared" si="3"/>
        <v>7.951388888888888E-3</v>
      </c>
      <c r="I31" s="95">
        <f t="shared" si="4"/>
        <v>9.3402777777777772E-3</v>
      </c>
      <c r="J31" s="95">
        <f t="shared" si="5"/>
        <v>1.9675925925925937E-4</v>
      </c>
      <c r="K31" s="59">
        <f t="shared" si="6"/>
        <v>19.440000000000001</v>
      </c>
      <c r="L31" s="225"/>
      <c r="N31" s="92">
        <f t="shared" si="8"/>
        <v>7.951388888888888E-3</v>
      </c>
      <c r="O31" s="43">
        <f t="shared" si="9"/>
        <v>37</v>
      </c>
      <c r="P31" s="150" t="e">
        <f t="shared" si="10"/>
        <v>#N/A</v>
      </c>
      <c r="Q31" s="43" t="e">
        <f t="shared" si="11"/>
        <v>#N/A</v>
      </c>
      <c r="S31" s="173"/>
      <c r="T31" s="43">
        <v>30</v>
      </c>
      <c r="U31" s="43">
        <v>47</v>
      </c>
      <c r="V31" s="219" t="s">
        <v>169</v>
      </c>
      <c r="W31" s="92">
        <v>8.1249999999999985E-3</v>
      </c>
      <c r="X31" s="92">
        <f t="shared" si="7"/>
        <v>2.708333333333333E-3</v>
      </c>
      <c r="Y31" s="152"/>
      <c r="Z31" s="43">
        <v>30</v>
      </c>
      <c r="AA31" s="43">
        <v>39</v>
      </c>
      <c r="AB31" s="219" t="s">
        <v>197</v>
      </c>
      <c r="AC31" s="150">
        <v>0.68769999999999998</v>
      </c>
      <c r="AD31" s="113">
        <f>VLOOKUP(C31,'Progress points - Male'!$A$5:$D$218,4,FALSE)</f>
        <v>29907</v>
      </c>
      <c r="AK31" s="124"/>
      <c r="AL31" s="124"/>
      <c r="AN31" s="124"/>
    </row>
    <row r="32" spans="1:40" ht="16.5" customHeight="1" x14ac:dyDescent="0.2">
      <c r="A32" s="43">
        <f t="shared" si="0"/>
        <v>30</v>
      </c>
      <c r="B32" s="43">
        <f t="shared" si="1"/>
        <v>15</v>
      </c>
      <c r="C32" s="220" t="s">
        <v>191</v>
      </c>
      <c r="D32" s="190">
        <v>7.2916666666666659E-3</v>
      </c>
      <c r="E32" s="190">
        <v>5.2083333333333409E-4</v>
      </c>
      <c r="F32" s="95">
        <f t="shared" si="2"/>
        <v>1.8518518518518519E-3</v>
      </c>
      <c r="G32" s="95">
        <v>8.0092592592592594E-3</v>
      </c>
      <c r="H32" s="95">
        <f t="shared" si="3"/>
        <v>7.4884259259259253E-3</v>
      </c>
      <c r="I32" s="95">
        <f t="shared" si="4"/>
        <v>9.3402777777777772E-3</v>
      </c>
      <c r="J32" s="95">
        <f t="shared" si="5"/>
        <v>1.9675925925925937E-4</v>
      </c>
      <c r="K32" s="59">
        <f t="shared" si="6"/>
        <v>19.440000000000001</v>
      </c>
      <c r="L32" s="225"/>
      <c r="N32" s="92">
        <f t="shared" si="8"/>
        <v>7.4884259259259253E-3</v>
      </c>
      <c r="O32" s="43">
        <f t="shared" si="9"/>
        <v>36</v>
      </c>
      <c r="P32" s="150" t="e">
        <f t="shared" si="10"/>
        <v>#N/A</v>
      </c>
      <c r="Q32" s="43" t="e">
        <f t="shared" si="11"/>
        <v>#N/A</v>
      </c>
      <c r="S32" s="173"/>
      <c r="T32" s="43">
        <v>31</v>
      </c>
      <c r="U32" s="43">
        <v>37</v>
      </c>
      <c r="V32" s="219" t="s">
        <v>407</v>
      </c>
      <c r="W32" s="92">
        <v>8.1828703703703699E-3</v>
      </c>
      <c r="X32" s="92">
        <f t="shared" si="7"/>
        <v>2.7276234567901233E-3</v>
      </c>
      <c r="Y32" s="152"/>
      <c r="Z32" s="43">
        <v>31</v>
      </c>
      <c r="AA32" s="43">
        <v>36</v>
      </c>
      <c r="AB32" s="219" t="s">
        <v>439</v>
      </c>
      <c r="AC32" s="150">
        <v>0.6804</v>
      </c>
      <c r="AD32" s="113">
        <f>VLOOKUP(C32,'Progress points - Male'!$A$5:$D$218,4,FALSE)</f>
        <v>30234</v>
      </c>
      <c r="AK32" s="124"/>
      <c r="AL32" s="124"/>
      <c r="AN32" s="124"/>
    </row>
    <row r="33" spans="1:40" ht="17.25" customHeight="1" x14ac:dyDescent="0.2">
      <c r="A33" s="43">
        <f t="shared" si="0"/>
        <v>32</v>
      </c>
      <c r="B33" s="43">
        <f t="shared" si="1"/>
        <v>36</v>
      </c>
      <c r="C33" s="219" t="s">
        <v>256</v>
      </c>
      <c r="D33" s="190">
        <v>8.5069444444444437E-3</v>
      </c>
      <c r="E33" s="190">
        <v>1.5625000000000014E-3</v>
      </c>
      <c r="F33" s="95">
        <f t="shared" si="2"/>
        <v>6.3657407407407413E-4</v>
      </c>
      <c r="G33" s="95">
        <v>1.0300925925925927E-2</v>
      </c>
      <c r="H33" s="95">
        <f t="shared" si="3"/>
        <v>8.7384259259259255E-3</v>
      </c>
      <c r="I33" s="95">
        <f t="shared" si="4"/>
        <v>9.3749999999999997E-3</v>
      </c>
      <c r="J33" s="95">
        <f t="shared" si="5"/>
        <v>2.3148148148148182E-4</v>
      </c>
      <c r="K33" s="59">
        <f t="shared" si="6"/>
        <v>13.89</v>
      </c>
      <c r="L33" s="225"/>
      <c r="N33" s="92">
        <f t="shared" si="8"/>
        <v>8.7384259259259255E-3</v>
      </c>
      <c r="O33" s="43">
        <f t="shared" si="9"/>
        <v>33</v>
      </c>
      <c r="P33" s="150" t="e">
        <f t="shared" si="10"/>
        <v>#N/A</v>
      </c>
      <c r="Q33" s="43" t="e">
        <f t="shared" si="11"/>
        <v>#N/A</v>
      </c>
      <c r="S33" s="173"/>
      <c r="T33" s="43">
        <v>32</v>
      </c>
      <c r="U33" s="43">
        <v>44</v>
      </c>
      <c r="V33" s="219" t="s">
        <v>124</v>
      </c>
      <c r="W33" s="92">
        <v>8.2754629629629619E-3</v>
      </c>
      <c r="X33" s="92">
        <f t="shared" si="7"/>
        <v>2.7584876543209872E-3</v>
      </c>
      <c r="Y33" s="152"/>
      <c r="Z33" s="43">
        <v>32</v>
      </c>
      <c r="AA33" s="43">
        <v>44</v>
      </c>
      <c r="AB33" s="219" t="s">
        <v>124</v>
      </c>
      <c r="AC33" s="150">
        <v>0.67120000000000002</v>
      </c>
      <c r="AD33" s="113">
        <f>VLOOKUP(C33,'Progress points - Female'!$A$5:$D$218,4,FALSE)</f>
        <v>31448</v>
      </c>
      <c r="AK33" s="124"/>
      <c r="AL33" s="124"/>
      <c r="AN33" s="124"/>
    </row>
    <row r="34" spans="1:40" ht="17.25" customHeight="1" x14ac:dyDescent="0.2">
      <c r="A34" s="43">
        <f t="shared" si="0"/>
        <v>33</v>
      </c>
      <c r="B34" s="43">
        <f t="shared" si="1"/>
        <v>31</v>
      </c>
      <c r="C34" s="219" t="s">
        <v>407</v>
      </c>
      <c r="D34" s="190">
        <v>7.9282407407407409E-3</v>
      </c>
      <c r="E34" s="190">
        <v>2.1412037037037042E-3</v>
      </c>
      <c r="F34" s="95">
        <f t="shared" si="2"/>
        <v>1.2152777777777769E-3</v>
      </c>
      <c r="G34" s="95">
        <v>1.0324074074074074E-2</v>
      </c>
      <c r="H34" s="95">
        <f t="shared" si="3"/>
        <v>8.1828703703703699E-3</v>
      </c>
      <c r="I34" s="95">
        <f t="shared" si="4"/>
        <v>9.3981481481481468E-3</v>
      </c>
      <c r="J34" s="95">
        <f t="shared" si="5"/>
        <v>2.5462962962962896E-4</v>
      </c>
      <c r="K34" s="59">
        <f t="shared" si="6"/>
        <v>11.11</v>
      </c>
      <c r="L34" s="225"/>
      <c r="N34" s="92">
        <f t="shared" si="8"/>
        <v>8.1828703703703699E-3</v>
      </c>
      <c r="O34" s="43">
        <f t="shared" si="9"/>
        <v>37</v>
      </c>
      <c r="P34" s="150" t="e">
        <f t="shared" si="10"/>
        <v>#N/A</v>
      </c>
      <c r="Q34" s="43" t="e">
        <f t="shared" si="11"/>
        <v>#N/A</v>
      </c>
      <c r="S34" s="173"/>
      <c r="T34" s="43">
        <v>33</v>
      </c>
      <c r="U34" s="43">
        <v>34</v>
      </c>
      <c r="V34" s="219" t="s">
        <v>134</v>
      </c>
      <c r="W34" s="92">
        <v>8.2870370370370372E-3</v>
      </c>
      <c r="X34" s="92">
        <f t="shared" ref="X34:X37" si="12">W34/3</f>
        <v>2.7623456790123457E-3</v>
      </c>
      <c r="Y34" s="152"/>
      <c r="Z34" s="43">
        <v>33</v>
      </c>
      <c r="AA34" s="43">
        <v>33</v>
      </c>
      <c r="AB34" s="219" t="s">
        <v>256</v>
      </c>
      <c r="AC34" s="150">
        <v>0.66849999999999998</v>
      </c>
      <c r="AD34" s="113">
        <f>VLOOKUP(C34,'Progress points - Female'!$A$5:$D$218,4,FALSE)</f>
        <v>30089</v>
      </c>
      <c r="AK34" s="124"/>
      <c r="AL34" s="124"/>
      <c r="AN34" s="124"/>
    </row>
    <row r="35" spans="1:40" ht="17.25" customHeight="1" x14ac:dyDescent="0.2">
      <c r="A35" s="43">
        <f t="shared" si="0"/>
        <v>34</v>
      </c>
      <c r="B35" s="43">
        <f t="shared" si="1"/>
        <v>33</v>
      </c>
      <c r="C35" s="219" t="s">
        <v>134</v>
      </c>
      <c r="D35" s="190">
        <v>7.9861111111111122E-3</v>
      </c>
      <c r="E35" s="190">
        <v>2.0833333333333329E-3</v>
      </c>
      <c r="F35" s="95">
        <f t="shared" si="2"/>
        <v>1.1574074074074056E-3</v>
      </c>
      <c r="G35" s="95">
        <v>1.037037037037037E-2</v>
      </c>
      <c r="H35" s="95">
        <f t="shared" si="3"/>
        <v>8.2870370370370372E-3</v>
      </c>
      <c r="I35" s="95">
        <f t="shared" si="4"/>
        <v>9.4444444444444428E-3</v>
      </c>
      <c r="J35" s="95">
        <f t="shared" si="5"/>
        <v>3.0092592592592497E-4</v>
      </c>
      <c r="K35" s="59">
        <f t="shared" si="6"/>
        <v>8.33</v>
      </c>
      <c r="L35" s="225"/>
      <c r="N35" s="92">
        <f t="shared" si="8"/>
        <v>8.2870370370370372E-3</v>
      </c>
      <c r="O35" s="43">
        <f t="shared" si="9"/>
        <v>34</v>
      </c>
      <c r="P35" s="150" t="e">
        <f t="shared" si="10"/>
        <v>#N/A</v>
      </c>
      <c r="Q35" s="43" t="e">
        <f t="shared" si="11"/>
        <v>#N/A</v>
      </c>
      <c r="S35" s="173"/>
      <c r="T35" s="43">
        <v>34</v>
      </c>
      <c r="U35" s="43">
        <v>44</v>
      </c>
      <c r="V35" s="219" t="s">
        <v>67</v>
      </c>
      <c r="W35" s="92">
        <v>8.5069444444444437E-3</v>
      </c>
      <c r="X35" s="92">
        <f t="shared" si="12"/>
        <v>2.8356481481481479E-3</v>
      </c>
      <c r="Y35" s="152"/>
      <c r="Z35" s="43">
        <v>34</v>
      </c>
      <c r="AA35" s="43">
        <v>36</v>
      </c>
      <c r="AB35" s="219" t="s">
        <v>287</v>
      </c>
      <c r="AC35" s="150">
        <v>0.66800000000000004</v>
      </c>
      <c r="AD35" s="113">
        <f>VLOOKUP(C35,'Progress points - Female'!$A$5:$D$218,4,FALSE)</f>
        <v>31157</v>
      </c>
      <c r="AK35" s="124"/>
      <c r="AL35" s="124"/>
      <c r="AN35" s="124"/>
    </row>
    <row r="36" spans="1:40" ht="17.25" customHeight="1" x14ac:dyDescent="0.2">
      <c r="A36" s="43">
        <f t="shared" si="0"/>
        <v>35</v>
      </c>
      <c r="B36" s="43">
        <f t="shared" si="1"/>
        <v>6</v>
      </c>
      <c r="C36" s="220" t="s">
        <v>45</v>
      </c>
      <c r="D36" s="190">
        <v>6.7708333333333336E-3</v>
      </c>
      <c r="E36" s="190">
        <v>1.0416666666666664E-3</v>
      </c>
      <c r="F36" s="95">
        <f t="shared" si="2"/>
        <v>2.3726851851851843E-3</v>
      </c>
      <c r="G36" s="95">
        <v>8.1828703703703699E-3</v>
      </c>
      <c r="H36" s="95">
        <f t="shared" si="3"/>
        <v>7.1412037037037034E-3</v>
      </c>
      <c r="I36" s="95">
        <f t="shared" si="4"/>
        <v>9.5138888888888877E-3</v>
      </c>
      <c r="J36" s="95">
        <f t="shared" si="5"/>
        <v>3.7037037037036986E-4</v>
      </c>
      <c r="K36" s="59">
        <f t="shared" si="6"/>
        <v>5.56</v>
      </c>
      <c r="L36" s="225"/>
      <c r="N36" s="92">
        <f t="shared" si="8"/>
        <v>7.1412037037037034E-3</v>
      </c>
      <c r="O36" s="43">
        <f t="shared" si="9"/>
        <v>40</v>
      </c>
      <c r="P36" s="150" t="e">
        <f t="shared" si="10"/>
        <v>#N/A</v>
      </c>
      <c r="Q36" s="43" t="e">
        <f t="shared" si="11"/>
        <v>#N/A</v>
      </c>
      <c r="S36" s="173"/>
      <c r="T36" s="43">
        <v>35</v>
      </c>
      <c r="U36" s="43">
        <v>36</v>
      </c>
      <c r="V36" s="219" t="s">
        <v>439</v>
      </c>
      <c r="W36" s="92">
        <v>8.6921296296296278E-3</v>
      </c>
      <c r="X36" s="92">
        <f t="shared" si="12"/>
        <v>2.8973765432098761E-3</v>
      </c>
      <c r="Y36" s="152"/>
      <c r="Z36" s="43">
        <v>35</v>
      </c>
      <c r="AA36" s="43">
        <v>37</v>
      </c>
      <c r="AB36" s="220" t="s">
        <v>80</v>
      </c>
      <c r="AC36" s="150">
        <v>0.66290000000000004</v>
      </c>
      <c r="AD36" s="113">
        <f>VLOOKUP(C36,'Progress points - Male'!$A$5:$D$218,4,FALSE)</f>
        <v>28707</v>
      </c>
      <c r="AK36" s="124"/>
      <c r="AL36" s="124"/>
      <c r="AN36" s="124"/>
    </row>
    <row r="37" spans="1:40" ht="17.25" customHeight="1" x14ac:dyDescent="0.2">
      <c r="A37" s="43">
        <f t="shared" si="0"/>
        <v>36</v>
      </c>
      <c r="B37" s="43">
        <f t="shared" si="1"/>
        <v>18</v>
      </c>
      <c r="C37" s="220" t="s">
        <v>160</v>
      </c>
      <c r="D37" s="190">
        <v>7.2916666666666659E-3</v>
      </c>
      <c r="E37" s="190">
        <v>5.2083333333333409E-4</v>
      </c>
      <c r="F37" s="95">
        <f t="shared" si="2"/>
        <v>1.8518518518518519E-3</v>
      </c>
      <c r="G37" s="95">
        <v>8.2523148148148148E-3</v>
      </c>
      <c r="H37" s="95">
        <f t="shared" si="3"/>
        <v>7.7314814814814807E-3</v>
      </c>
      <c r="I37" s="95">
        <f t="shared" si="4"/>
        <v>9.5833333333333326E-3</v>
      </c>
      <c r="J37" s="95">
        <f t="shared" si="5"/>
        <v>4.3981481481481476E-4</v>
      </c>
      <c r="K37" s="59">
        <f t="shared" si="6"/>
        <v>2.78</v>
      </c>
      <c r="L37" s="225"/>
      <c r="N37" s="92">
        <f t="shared" si="8"/>
        <v>7.7314814814814807E-3</v>
      </c>
      <c r="O37" s="43">
        <f t="shared" si="9"/>
        <v>47</v>
      </c>
      <c r="P37" s="150" t="e">
        <f t="shared" si="10"/>
        <v>#N/A</v>
      </c>
      <c r="Q37" s="43" t="e">
        <f t="shared" si="11"/>
        <v>#N/A</v>
      </c>
      <c r="S37" s="173"/>
      <c r="T37" s="43">
        <v>36</v>
      </c>
      <c r="U37" s="43">
        <v>33</v>
      </c>
      <c r="V37" s="219" t="s">
        <v>256</v>
      </c>
      <c r="W37" s="92">
        <v>8.7384259259259255E-3</v>
      </c>
      <c r="X37" s="92">
        <f t="shared" si="12"/>
        <v>2.9128086419753087E-3</v>
      </c>
      <c r="Y37" s="152"/>
      <c r="Z37" s="43">
        <v>36</v>
      </c>
      <c r="AA37" s="43">
        <v>44</v>
      </c>
      <c r="AB37" s="219" t="s">
        <v>67</v>
      </c>
      <c r="AC37" s="150">
        <v>0.65290000000000004</v>
      </c>
      <c r="AD37" s="113">
        <f>VLOOKUP(C37,'Progress points - Male'!$A$5:$D$218,4,FALSE)</f>
        <v>26323</v>
      </c>
      <c r="AK37" s="124"/>
      <c r="AL37" s="124"/>
      <c r="AN37" s="124"/>
    </row>
    <row r="38" spans="1:40" ht="18.75" customHeight="1" x14ac:dyDescent="0.2">
      <c r="AD38" s="84"/>
      <c r="AK38" s="124"/>
      <c r="AL38" s="124"/>
      <c r="AN38" s="124"/>
    </row>
    <row r="39" spans="1:40" ht="16.5" customHeight="1" x14ac:dyDescent="0.2">
      <c r="D39" s="155"/>
      <c r="E39" s="155"/>
      <c r="F39" s="155"/>
      <c r="G39" s="156"/>
      <c r="H39" s="155"/>
      <c r="I39" s="155"/>
      <c r="J39" s="155"/>
      <c r="K39" s="157"/>
      <c r="L39" s="157"/>
      <c r="AD39" s="84"/>
      <c r="AK39" s="124"/>
      <c r="AL39" s="124"/>
      <c r="AN39" s="124"/>
    </row>
    <row r="40" spans="1:40" ht="16.5" customHeight="1" x14ac:dyDescent="0.2">
      <c r="A40" s="43" t="s">
        <v>25</v>
      </c>
      <c r="B40" s="60">
        <v>36</v>
      </c>
      <c r="C40" s="140" t="s">
        <v>228</v>
      </c>
      <c r="AD40" s="84"/>
    </row>
    <row r="41" spans="1:40" ht="16.5" customHeight="1" x14ac:dyDescent="0.2">
      <c r="A41" s="94"/>
      <c r="C41" s="141" t="s">
        <v>229</v>
      </c>
      <c r="AD41" s="84"/>
    </row>
    <row r="43" spans="1:40" ht="17.25" customHeight="1" x14ac:dyDescent="0.2">
      <c r="A43" s="43" t="s">
        <v>15</v>
      </c>
      <c r="B43" s="43">
        <v>1</v>
      </c>
      <c r="C43" s="42" t="s">
        <v>136</v>
      </c>
      <c r="D43" s="13"/>
      <c r="E43" s="13"/>
      <c r="K43" s="43">
        <f>ROUND(100-((100/$B$40)*(ROUNDUP($B$40*0.4,0)-1)),2)</f>
        <v>61.11</v>
      </c>
      <c r="L43" s="94"/>
    </row>
    <row r="44" spans="1:40" ht="17.25" customHeight="1" x14ac:dyDescent="0.2">
      <c r="A44" s="94"/>
      <c r="B44" s="43">
        <v>2</v>
      </c>
      <c r="C44" s="42" t="s">
        <v>170</v>
      </c>
      <c r="D44" s="65"/>
      <c r="E44" s="13"/>
      <c r="K44" s="43">
        <f t="shared" ref="K44:K46" si="13">ROUND(100-((100/$B$40)*(ROUNDUP($B$40*0.4,0)-1)),2)</f>
        <v>61.11</v>
      </c>
      <c r="L44" s="94"/>
    </row>
    <row r="45" spans="1:40" ht="17.25" customHeight="1" x14ac:dyDescent="0.2">
      <c r="B45" s="43">
        <v>3</v>
      </c>
      <c r="C45" s="42" t="s">
        <v>259</v>
      </c>
      <c r="D45" s="13"/>
      <c r="E45" s="13"/>
      <c r="K45" s="43">
        <f t="shared" si="13"/>
        <v>61.11</v>
      </c>
      <c r="L45" s="94"/>
    </row>
    <row r="46" spans="1:40" ht="17.25" customHeight="1" x14ac:dyDescent="0.2">
      <c r="B46" s="43">
        <v>4</v>
      </c>
      <c r="C46" s="42" t="s">
        <v>35</v>
      </c>
      <c r="D46" s="13"/>
      <c r="E46" s="13"/>
      <c r="K46" s="43">
        <f t="shared" si="13"/>
        <v>61.11</v>
      </c>
      <c r="L46" s="94"/>
    </row>
    <row r="47" spans="1:40" ht="17.25" customHeight="1" x14ac:dyDescent="0.2">
      <c r="B47" s="43">
        <v>5</v>
      </c>
      <c r="C47" s="42"/>
      <c r="K47" s="43"/>
      <c r="L47" s="94"/>
    </row>
    <row r="48" spans="1:40" ht="17.25" customHeight="1" x14ac:dyDescent="0.2"/>
    <row r="49" spans="10:12" ht="17.25" customHeight="1" x14ac:dyDescent="0.2">
      <c r="J49" t="s">
        <v>28</v>
      </c>
      <c r="K49" s="59">
        <f>SUM(K2:K46)</f>
        <v>2111.1</v>
      </c>
      <c r="L49" s="157"/>
    </row>
  </sheetData>
  <sheetProtection algorithmName="SHA-512" hashValue="OHpmhGkoVFd29esHUpPYUgo7/Qts1l/UkGPMfzcgS/H2d542JZpQSh13YYuuuW1aLmcZxZk7z9F9u/p3A6bNsw==" saltValue="9IFhHlmROJiDFvGIYdysPw==" spinCount="100000" sheet="1" objects="1" scenarios="1"/>
  <sortState xmlns:xlrd2="http://schemas.microsoft.com/office/spreadsheetml/2017/richdata2" ref="U2:W37">
    <sortCondition ref="W2:W37"/>
  </sortState>
  <conditionalFormatting sqref="J2:J37">
    <cfRule type="expression" dxfId="2" priority="7">
      <formula>IF(D2&gt;=H2,TRUE,FALSE)</formula>
    </cfRule>
  </conditionalFormatting>
  <conditionalFormatting sqref="J13:J17">
    <cfRule type="expression" dxfId="1" priority="4">
      <formula>IF(D13&gt;=H13,TRUE,FALSE)</formula>
    </cfRule>
  </conditionalFormatting>
  <conditionalFormatting sqref="J18:J23">
    <cfRule type="expression" dxfId="0" priority="3">
      <formula>IF(D18&gt;=H18,TRUE,FALSE)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52"/>
  <sheetViews>
    <sheetView zoomScale="85" zoomScaleNormal="85" workbookViewId="0"/>
  </sheetViews>
  <sheetFormatPr defaultRowHeight="12.75" x14ac:dyDescent="0.2"/>
  <cols>
    <col min="1" max="1" width="12" customWidth="1"/>
    <col min="2" max="2" width="23.7109375" customWidth="1"/>
    <col min="3" max="4" width="11.140625" customWidth="1"/>
    <col min="5" max="5" width="7.7109375" customWidth="1"/>
    <col min="6" max="6" width="5.7109375" hidden="1" customWidth="1"/>
    <col min="7" max="7" width="12.85546875" hidden="1" customWidth="1"/>
    <col min="8" max="8" width="10.85546875" hidden="1" customWidth="1"/>
    <col min="9" max="9" width="2.85546875" hidden="1" customWidth="1"/>
    <col min="10" max="10" width="10.85546875" bestFit="1" customWidth="1"/>
    <col min="11" max="11" width="5.5703125" hidden="1" customWidth="1"/>
    <col min="12" max="12" width="23.7109375" customWidth="1"/>
    <col min="13" max="13" width="10.85546875" bestFit="1" customWidth="1"/>
    <col min="14" max="14" width="10.28515625" hidden="1" customWidth="1"/>
  </cols>
  <sheetData>
    <row r="1" spans="1:23" ht="37.5" customHeight="1" x14ac:dyDescent="0.2">
      <c r="A1" s="159" t="s">
        <v>17</v>
      </c>
      <c r="B1" s="159" t="s">
        <v>7</v>
      </c>
      <c r="C1" s="159" t="s">
        <v>121</v>
      </c>
      <c r="D1" s="159" t="s">
        <v>9</v>
      </c>
      <c r="F1" s="8" t="s">
        <v>154</v>
      </c>
      <c r="G1" s="110" t="s">
        <v>152</v>
      </c>
      <c r="H1" s="110" t="s">
        <v>153</v>
      </c>
      <c r="J1" s="162" t="s">
        <v>153</v>
      </c>
      <c r="K1" s="162" t="s">
        <v>154</v>
      </c>
      <c r="L1" s="162" t="s">
        <v>7</v>
      </c>
      <c r="M1" s="162" t="s">
        <v>152</v>
      </c>
      <c r="N1" s="113">
        <v>43660</v>
      </c>
    </row>
    <row r="2" spans="1:23" ht="17.25" customHeight="1" x14ac:dyDescent="0.2">
      <c r="A2" s="43">
        <v>1</v>
      </c>
      <c r="B2" s="69" t="s">
        <v>431</v>
      </c>
      <c r="C2" s="66">
        <v>2.1494328703703703E-2</v>
      </c>
      <c r="D2" s="59">
        <f>ROUND(100-((100/$B$52)*(A2-1)),2)</f>
        <v>100</v>
      </c>
      <c r="F2" s="43">
        <f t="shared" ref="F2:F50" si="0">DATEDIF(N2,$N$1,"y")</f>
        <v>35</v>
      </c>
      <c r="G2" s="121">
        <v>0.87129999999999996</v>
      </c>
      <c r="H2" s="43">
        <f>RANK(G2,$G$2:$G$50,0)</f>
        <v>3</v>
      </c>
      <c r="I2" s="57"/>
      <c r="J2" s="73">
        <v>24</v>
      </c>
      <c r="K2" s="43">
        <v>62</v>
      </c>
      <c r="L2" s="69" t="s">
        <v>397</v>
      </c>
      <c r="M2" s="121">
        <v>0.88900000000000001</v>
      </c>
      <c r="N2" s="113">
        <v>30591</v>
      </c>
      <c r="Q2" s="13"/>
      <c r="V2" s="84"/>
      <c r="W2" s="124"/>
    </row>
    <row r="3" spans="1:23" ht="17.25" customHeight="1" x14ac:dyDescent="0.2">
      <c r="A3" s="43">
        <v>2</v>
      </c>
      <c r="B3" s="69" t="s">
        <v>480</v>
      </c>
      <c r="C3" s="66">
        <v>2.2042824074074072E-2</v>
      </c>
      <c r="D3" s="59">
        <f t="shared" ref="D3:D50" si="1">ROUND(100-((100/$B$52)*(A3-1)),2)</f>
        <v>97.96</v>
      </c>
      <c r="F3" s="43">
        <f t="shared" si="0"/>
        <v>39</v>
      </c>
      <c r="G3" s="121">
        <v>0.8669</v>
      </c>
      <c r="H3" s="43">
        <f t="shared" ref="H3:H4" si="2">RANK(G3,$G$2:$G$50,0)</f>
        <v>4</v>
      </c>
      <c r="I3" s="57"/>
      <c r="J3" s="73">
        <v>3</v>
      </c>
      <c r="K3" s="73">
        <v>45</v>
      </c>
      <c r="L3" s="69" t="s">
        <v>455</v>
      </c>
      <c r="M3" s="121">
        <v>0.88219999999999998</v>
      </c>
      <c r="N3" s="113">
        <v>29171</v>
      </c>
      <c r="V3" s="84"/>
      <c r="W3" s="124"/>
    </row>
    <row r="4" spans="1:23" ht="17.25" customHeight="1" x14ac:dyDescent="0.2">
      <c r="A4" s="43">
        <v>3</v>
      </c>
      <c r="B4" s="69" t="s">
        <v>455</v>
      </c>
      <c r="C4" s="66">
        <v>2.2697106481481478E-2</v>
      </c>
      <c r="D4" s="59">
        <f t="shared" si="1"/>
        <v>95.92</v>
      </c>
      <c r="F4" s="43">
        <f t="shared" si="0"/>
        <v>45</v>
      </c>
      <c r="G4" s="121">
        <v>0.88219999999999998</v>
      </c>
      <c r="H4" s="43">
        <f t="shared" si="2"/>
        <v>2</v>
      </c>
      <c r="I4" s="57"/>
      <c r="J4" s="43">
        <v>1</v>
      </c>
      <c r="K4" s="43">
        <v>35</v>
      </c>
      <c r="L4" s="69" t="s">
        <v>431</v>
      </c>
      <c r="M4" s="121">
        <v>0.87129999999999996</v>
      </c>
      <c r="N4" s="113">
        <v>27166</v>
      </c>
      <c r="V4" s="84"/>
      <c r="W4" s="124"/>
    </row>
    <row r="5" spans="1:23" ht="17.25" customHeight="1" x14ac:dyDescent="0.2">
      <c r="A5" s="43">
        <v>4</v>
      </c>
      <c r="B5" s="69" t="s">
        <v>456</v>
      </c>
      <c r="C5" s="66">
        <v>2.2947337962962968E-2</v>
      </c>
      <c r="D5" s="59">
        <f t="shared" si="1"/>
        <v>93.88</v>
      </c>
      <c r="F5" s="43">
        <f t="shared" si="0"/>
        <v>34</v>
      </c>
      <c r="G5" s="121">
        <v>0.8135</v>
      </c>
      <c r="H5" s="43">
        <f t="shared" ref="H5:H50" si="3">RANK(G5,$G$2:$G$50,0)</f>
        <v>16</v>
      </c>
      <c r="I5" s="57"/>
      <c r="J5" s="43">
        <v>2</v>
      </c>
      <c r="K5" s="43">
        <v>39</v>
      </c>
      <c r="L5" s="69" t="s">
        <v>480</v>
      </c>
      <c r="M5" s="121">
        <v>0.8669</v>
      </c>
      <c r="N5" s="113">
        <v>31147</v>
      </c>
      <c r="V5" s="84"/>
      <c r="W5" s="124"/>
    </row>
    <row r="6" spans="1:23" ht="17.25" customHeight="1" x14ac:dyDescent="0.2">
      <c r="A6" s="43">
        <v>5</v>
      </c>
      <c r="B6" s="68" t="s">
        <v>457</v>
      </c>
      <c r="C6" s="66">
        <v>2.3122916666666663E-2</v>
      </c>
      <c r="D6" s="59">
        <f t="shared" si="1"/>
        <v>91.84</v>
      </c>
      <c r="F6" s="43">
        <f t="shared" si="0"/>
        <v>39</v>
      </c>
      <c r="G6" s="121">
        <v>0.82640000000000002</v>
      </c>
      <c r="H6" s="43">
        <f t="shared" si="3"/>
        <v>11</v>
      </c>
      <c r="I6" s="57"/>
      <c r="J6" s="43">
        <v>8</v>
      </c>
      <c r="K6" s="43">
        <v>44</v>
      </c>
      <c r="L6" s="69" t="s">
        <v>380</v>
      </c>
      <c r="M6" s="121">
        <v>0.84199999999999997</v>
      </c>
      <c r="N6" s="113">
        <v>29141</v>
      </c>
      <c r="Q6" s="13"/>
      <c r="V6" s="84"/>
      <c r="W6" s="124"/>
    </row>
    <row r="7" spans="1:23" ht="17.25" customHeight="1" x14ac:dyDescent="0.2">
      <c r="A7" s="43">
        <v>6</v>
      </c>
      <c r="B7" s="69" t="s">
        <v>458</v>
      </c>
      <c r="C7" s="66">
        <v>2.3312152777777775E-2</v>
      </c>
      <c r="D7" s="59">
        <f t="shared" si="1"/>
        <v>89.8</v>
      </c>
      <c r="F7" s="43">
        <f t="shared" si="0"/>
        <v>39</v>
      </c>
      <c r="G7" s="121">
        <v>0.81969999999999998</v>
      </c>
      <c r="H7" s="43">
        <f t="shared" si="3"/>
        <v>14</v>
      </c>
      <c r="I7" s="57"/>
      <c r="J7" s="43">
        <v>25</v>
      </c>
      <c r="K7" s="43">
        <v>56</v>
      </c>
      <c r="L7" s="69" t="s">
        <v>468</v>
      </c>
      <c r="M7" s="121">
        <v>0.84099999999999997</v>
      </c>
      <c r="N7" s="113">
        <v>29058</v>
      </c>
      <c r="V7" s="84"/>
      <c r="W7" s="124"/>
    </row>
    <row r="8" spans="1:23" ht="17.25" customHeight="1" x14ac:dyDescent="0.2">
      <c r="A8" s="43">
        <v>7</v>
      </c>
      <c r="B8" s="69" t="s">
        <v>459</v>
      </c>
      <c r="C8" s="66">
        <v>2.3490162037037039E-2</v>
      </c>
      <c r="D8" s="59">
        <f t="shared" si="1"/>
        <v>87.76</v>
      </c>
      <c r="F8" s="43">
        <f t="shared" si="0"/>
        <v>36</v>
      </c>
      <c r="G8" s="121">
        <v>0.80020000000000002</v>
      </c>
      <c r="H8" s="43">
        <f t="shared" si="3"/>
        <v>22</v>
      </c>
      <c r="I8" s="57"/>
      <c r="J8" s="73">
        <v>9</v>
      </c>
      <c r="K8" s="73">
        <v>44</v>
      </c>
      <c r="L8" s="69" t="s">
        <v>429</v>
      </c>
      <c r="M8" s="121">
        <v>0.8387</v>
      </c>
      <c r="N8" s="113">
        <v>30275</v>
      </c>
      <c r="V8" s="84"/>
      <c r="W8" s="124"/>
    </row>
    <row r="9" spans="1:23" ht="17.25" customHeight="1" x14ac:dyDescent="0.2">
      <c r="A9" s="43">
        <v>8</v>
      </c>
      <c r="B9" s="69" t="s">
        <v>380</v>
      </c>
      <c r="C9" s="66">
        <v>2.3586342592592596E-2</v>
      </c>
      <c r="D9" s="59">
        <f t="shared" si="1"/>
        <v>85.71</v>
      </c>
      <c r="F9" s="43">
        <f t="shared" si="0"/>
        <v>44</v>
      </c>
      <c r="G9" s="121">
        <v>0.84199999999999997</v>
      </c>
      <c r="H9" s="43">
        <f t="shared" si="3"/>
        <v>5</v>
      </c>
      <c r="I9" s="57"/>
      <c r="J9" s="43">
        <v>16</v>
      </c>
      <c r="K9" s="43">
        <v>49</v>
      </c>
      <c r="L9" s="69" t="s">
        <v>462</v>
      </c>
      <c r="M9" s="121">
        <v>0.83069999999999999</v>
      </c>
      <c r="N9" s="113">
        <v>27386</v>
      </c>
      <c r="V9" s="84"/>
      <c r="W9" s="124"/>
    </row>
    <row r="10" spans="1:23" ht="17.25" customHeight="1" x14ac:dyDescent="0.2">
      <c r="A10" s="43">
        <v>9</v>
      </c>
      <c r="B10" s="69" t="s">
        <v>429</v>
      </c>
      <c r="C10" s="66">
        <v>2.3681712962962963E-2</v>
      </c>
      <c r="D10" s="59">
        <f t="shared" si="1"/>
        <v>83.67</v>
      </c>
      <c r="F10" s="43">
        <f t="shared" si="0"/>
        <v>44</v>
      </c>
      <c r="G10" s="121">
        <v>0.8387</v>
      </c>
      <c r="H10" s="43">
        <f t="shared" si="3"/>
        <v>7</v>
      </c>
      <c r="I10" s="57"/>
      <c r="J10" s="43">
        <v>13</v>
      </c>
      <c r="K10" s="73">
        <v>45</v>
      </c>
      <c r="L10" s="69" t="s">
        <v>377</v>
      </c>
      <c r="M10" s="121">
        <v>0.83030000000000004</v>
      </c>
      <c r="N10" s="113">
        <v>27296</v>
      </c>
      <c r="V10" s="84"/>
      <c r="W10" s="124"/>
    </row>
    <row r="11" spans="1:23" ht="17.25" customHeight="1" x14ac:dyDescent="0.2">
      <c r="A11" s="43">
        <v>10</v>
      </c>
      <c r="B11" s="69" t="s">
        <v>460</v>
      </c>
      <c r="C11" s="66">
        <v>2.3768865740740743E-2</v>
      </c>
      <c r="D11" s="59">
        <f t="shared" si="1"/>
        <v>81.63</v>
      </c>
      <c r="F11" s="43">
        <f t="shared" si="0"/>
        <v>40</v>
      </c>
      <c r="G11" s="121">
        <v>0.80979999999999996</v>
      </c>
      <c r="H11" s="43">
        <f t="shared" si="3"/>
        <v>18</v>
      </c>
      <c r="I11" s="57"/>
      <c r="J11" s="43">
        <v>14</v>
      </c>
      <c r="K11" s="43">
        <v>42</v>
      </c>
      <c r="L11" s="69" t="s">
        <v>246</v>
      </c>
      <c r="M11" s="121">
        <v>0.82789999999999997</v>
      </c>
      <c r="N11" s="113">
        <v>28816</v>
      </c>
      <c r="S11" s="13"/>
      <c r="V11" s="84"/>
      <c r="W11" s="124"/>
    </row>
    <row r="12" spans="1:23" ht="17.25" customHeight="1" x14ac:dyDescent="0.2">
      <c r="A12" s="43">
        <v>11</v>
      </c>
      <c r="B12" s="69" t="s">
        <v>156</v>
      </c>
      <c r="C12" s="66">
        <v>2.4036574074074075E-2</v>
      </c>
      <c r="D12" s="59">
        <f t="shared" si="1"/>
        <v>79.59</v>
      </c>
      <c r="F12" s="43">
        <f t="shared" si="0"/>
        <v>35</v>
      </c>
      <c r="G12" s="121">
        <v>0.77910000000000001</v>
      </c>
      <c r="H12" s="43">
        <f t="shared" si="3"/>
        <v>27</v>
      </c>
      <c r="I12" s="57"/>
      <c r="J12" s="43">
        <v>5</v>
      </c>
      <c r="K12" s="73">
        <v>39</v>
      </c>
      <c r="L12" s="68" t="s">
        <v>457</v>
      </c>
      <c r="M12" s="121">
        <v>0.82640000000000002</v>
      </c>
      <c r="N12" s="113">
        <v>30631</v>
      </c>
      <c r="V12" s="84"/>
      <c r="W12" s="124"/>
    </row>
    <row r="13" spans="1:23" ht="17.25" customHeight="1" x14ac:dyDescent="0.2">
      <c r="A13" s="43">
        <v>12</v>
      </c>
      <c r="B13" s="69" t="s">
        <v>475</v>
      </c>
      <c r="C13" s="66">
        <v>2.4103819444444442E-2</v>
      </c>
      <c r="D13" s="59">
        <f t="shared" si="1"/>
        <v>77.55</v>
      </c>
      <c r="F13" s="43">
        <f t="shared" si="0"/>
        <v>27</v>
      </c>
      <c r="G13" s="121">
        <v>0.76970000000000005</v>
      </c>
      <c r="H13" s="43">
        <f t="shared" si="3"/>
        <v>29</v>
      </c>
      <c r="I13" s="57"/>
      <c r="J13" s="43">
        <v>26</v>
      </c>
      <c r="K13" s="43">
        <v>39</v>
      </c>
      <c r="L13" s="42" t="s">
        <v>450</v>
      </c>
      <c r="M13" s="121">
        <v>0.82310000000000005</v>
      </c>
      <c r="N13" s="113">
        <v>33665</v>
      </c>
      <c r="V13" s="84"/>
      <c r="W13" s="124"/>
    </row>
    <row r="14" spans="1:23" ht="17.25" customHeight="1" x14ac:dyDescent="0.2">
      <c r="A14" s="43">
        <v>13</v>
      </c>
      <c r="B14" s="69" t="s">
        <v>377</v>
      </c>
      <c r="C14" s="66">
        <v>2.4115625000000002E-2</v>
      </c>
      <c r="D14" s="59">
        <f t="shared" si="1"/>
        <v>75.510000000000005</v>
      </c>
      <c r="F14" s="43">
        <f t="shared" si="0"/>
        <v>45</v>
      </c>
      <c r="G14" s="121">
        <v>0.83030000000000004</v>
      </c>
      <c r="H14" s="43">
        <f t="shared" si="3"/>
        <v>9</v>
      </c>
      <c r="I14" s="57"/>
      <c r="J14" s="43">
        <v>19</v>
      </c>
      <c r="K14" s="43">
        <v>48</v>
      </c>
      <c r="L14" s="69" t="s">
        <v>476</v>
      </c>
      <c r="M14" s="121">
        <v>0.82110000000000005</v>
      </c>
      <c r="N14" s="113">
        <v>27080</v>
      </c>
      <c r="S14" s="13"/>
      <c r="V14" s="84"/>
      <c r="W14" s="124"/>
    </row>
    <row r="15" spans="1:23" ht="17.25" customHeight="1" x14ac:dyDescent="0.2">
      <c r="A15" s="43">
        <v>14</v>
      </c>
      <c r="B15" s="69" t="s">
        <v>246</v>
      </c>
      <c r="C15" s="66">
        <v>2.4183680555555555E-2</v>
      </c>
      <c r="D15" s="59">
        <f t="shared" si="1"/>
        <v>73.47</v>
      </c>
      <c r="F15" s="43">
        <f t="shared" si="0"/>
        <v>42</v>
      </c>
      <c r="G15" s="121">
        <v>0.82789999999999997</v>
      </c>
      <c r="H15" s="43">
        <f t="shared" si="3"/>
        <v>10</v>
      </c>
      <c r="I15" s="57"/>
      <c r="J15" s="73">
        <v>6</v>
      </c>
      <c r="K15" s="43">
        <v>39</v>
      </c>
      <c r="L15" s="69" t="s">
        <v>458</v>
      </c>
      <c r="M15" s="121">
        <v>0.81969999999999998</v>
      </c>
      <c r="N15" s="113">
        <v>28179</v>
      </c>
      <c r="V15" s="84"/>
      <c r="W15" s="124"/>
    </row>
    <row r="16" spans="1:23" ht="17.25" customHeight="1" x14ac:dyDescent="0.2">
      <c r="A16" s="43">
        <v>15</v>
      </c>
      <c r="B16" s="69" t="s">
        <v>461</v>
      </c>
      <c r="C16" s="66">
        <v>2.4390509259259258E-2</v>
      </c>
      <c r="D16" s="59">
        <f t="shared" si="1"/>
        <v>71.430000000000007</v>
      </c>
      <c r="F16" s="43">
        <f t="shared" si="0"/>
        <v>30</v>
      </c>
      <c r="G16" s="121">
        <v>0.76070000000000004</v>
      </c>
      <c r="H16" s="43">
        <f t="shared" si="3"/>
        <v>31</v>
      </c>
      <c r="I16" s="57"/>
      <c r="J16" s="43">
        <v>20</v>
      </c>
      <c r="K16" s="43">
        <v>48</v>
      </c>
      <c r="L16" s="69" t="s">
        <v>465</v>
      </c>
      <c r="M16" s="121">
        <v>0.8165</v>
      </c>
      <c r="N16" s="113">
        <v>32398</v>
      </c>
      <c r="V16" s="84"/>
      <c r="W16" s="124"/>
    </row>
    <row r="17" spans="1:23" ht="17.25" customHeight="1" x14ac:dyDescent="0.2">
      <c r="A17" s="43">
        <v>16</v>
      </c>
      <c r="B17" s="69" t="s">
        <v>462</v>
      </c>
      <c r="C17" s="66">
        <v>2.4897337962962965E-2</v>
      </c>
      <c r="D17" s="59">
        <f t="shared" si="1"/>
        <v>69.39</v>
      </c>
      <c r="F17" s="43">
        <f t="shared" si="0"/>
        <v>49</v>
      </c>
      <c r="G17" s="121">
        <v>0.83069999999999999</v>
      </c>
      <c r="H17" s="43">
        <f t="shared" si="3"/>
        <v>8</v>
      </c>
      <c r="I17" s="57"/>
      <c r="J17" s="43">
        <v>4</v>
      </c>
      <c r="K17" s="43">
        <v>34</v>
      </c>
      <c r="L17" s="69" t="s">
        <v>456</v>
      </c>
      <c r="M17" s="121">
        <v>0.8135</v>
      </c>
      <c r="N17" s="113">
        <v>25457</v>
      </c>
      <c r="V17" s="84"/>
      <c r="W17" s="124"/>
    </row>
    <row r="18" spans="1:23" ht="17.25" customHeight="1" x14ac:dyDescent="0.2">
      <c r="A18" s="43">
        <v>17</v>
      </c>
      <c r="B18" s="69" t="s">
        <v>463</v>
      </c>
      <c r="C18" s="66">
        <v>2.4933796296296298E-2</v>
      </c>
      <c r="D18" s="59">
        <f t="shared" si="1"/>
        <v>67.349999999999994</v>
      </c>
      <c r="F18" s="43">
        <f>DATEDIF(N18,$N$1,"y")</f>
        <v>45</v>
      </c>
      <c r="G18" s="121">
        <v>0.80300000000000005</v>
      </c>
      <c r="H18" s="43">
        <f t="shared" si="3"/>
        <v>20</v>
      </c>
      <c r="I18" s="57"/>
      <c r="J18" s="43">
        <v>35</v>
      </c>
      <c r="K18" s="43">
        <v>48</v>
      </c>
      <c r="L18" s="69" t="s">
        <v>250</v>
      </c>
      <c r="M18" s="121">
        <v>0.81299999999999994</v>
      </c>
      <c r="N18" s="113">
        <v>26960</v>
      </c>
      <c r="T18" s="13"/>
      <c r="V18" s="84"/>
      <c r="W18" s="124"/>
    </row>
    <row r="19" spans="1:23" ht="17.25" customHeight="1" x14ac:dyDescent="0.2">
      <c r="A19" s="43">
        <v>18</v>
      </c>
      <c r="B19" s="69" t="s">
        <v>464</v>
      </c>
      <c r="C19" s="66">
        <v>2.4974999999999997E-2</v>
      </c>
      <c r="D19" s="59">
        <f t="shared" si="1"/>
        <v>65.31</v>
      </c>
      <c r="F19" s="43">
        <f>DATEDIF(N19,$N$1,"y")</f>
        <v>44</v>
      </c>
      <c r="G19" s="121">
        <v>0.79530000000000001</v>
      </c>
      <c r="H19" s="43">
        <f t="shared" si="3"/>
        <v>23</v>
      </c>
      <c r="I19" s="57"/>
      <c r="J19" s="43">
        <v>10</v>
      </c>
      <c r="K19" s="43">
        <v>40</v>
      </c>
      <c r="L19" s="69" t="s">
        <v>460</v>
      </c>
      <c r="M19" s="121">
        <v>0.80979999999999996</v>
      </c>
      <c r="N19" s="113">
        <v>27288</v>
      </c>
      <c r="V19" s="84"/>
      <c r="W19" s="124"/>
    </row>
    <row r="20" spans="1:23" ht="17.25" customHeight="1" x14ac:dyDescent="0.2">
      <c r="A20" s="43">
        <v>19</v>
      </c>
      <c r="B20" s="69" t="s">
        <v>476</v>
      </c>
      <c r="C20" s="66">
        <v>2.4991550925925924E-2</v>
      </c>
      <c r="D20" s="59">
        <f t="shared" si="1"/>
        <v>63.27</v>
      </c>
      <c r="F20" s="43">
        <f t="shared" si="0"/>
        <v>48</v>
      </c>
      <c r="G20" s="121">
        <v>0.82110000000000005</v>
      </c>
      <c r="H20" s="43">
        <f t="shared" si="3"/>
        <v>13</v>
      </c>
      <c r="I20" s="57"/>
      <c r="J20" s="43">
        <v>28</v>
      </c>
      <c r="K20" s="43">
        <v>56</v>
      </c>
      <c r="L20" s="69" t="s">
        <v>470</v>
      </c>
      <c r="M20" s="121">
        <v>0.80469999999999997</v>
      </c>
      <c r="N20" s="113">
        <v>26074</v>
      </c>
      <c r="Q20" s="13"/>
      <c r="V20" s="84"/>
      <c r="W20" s="124"/>
    </row>
    <row r="21" spans="1:23" ht="17.25" customHeight="1" x14ac:dyDescent="0.2">
      <c r="A21" s="43">
        <v>20</v>
      </c>
      <c r="B21" s="69" t="s">
        <v>465</v>
      </c>
      <c r="C21" s="66">
        <v>2.5132638888888892E-2</v>
      </c>
      <c r="D21" s="59">
        <f t="shared" si="1"/>
        <v>61.22</v>
      </c>
      <c r="F21" s="43">
        <f t="shared" si="0"/>
        <v>48</v>
      </c>
      <c r="G21" s="121">
        <v>0.8165</v>
      </c>
      <c r="H21" s="43">
        <f t="shared" si="3"/>
        <v>15</v>
      </c>
      <c r="I21" s="57"/>
      <c r="J21" s="43">
        <v>17</v>
      </c>
      <c r="K21" s="73">
        <v>45</v>
      </c>
      <c r="L21" s="69" t="s">
        <v>463</v>
      </c>
      <c r="M21" s="121">
        <v>0.80300000000000005</v>
      </c>
      <c r="N21" s="113">
        <v>25831</v>
      </c>
      <c r="V21" s="84"/>
      <c r="W21" s="124"/>
    </row>
    <row r="22" spans="1:23" ht="17.25" customHeight="1" x14ac:dyDescent="0.2">
      <c r="A22" s="43">
        <v>21</v>
      </c>
      <c r="B22" s="69" t="s">
        <v>394</v>
      </c>
      <c r="C22" s="66">
        <v>2.557939814814815E-2</v>
      </c>
      <c r="D22" s="59">
        <f t="shared" si="1"/>
        <v>59.18</v>
      </c>
      <c r="F22" s="43">
        <f t="shared" si="0"/>
        <v>43</v>
      </c>
      <c r="G22" s="121">
        <v>0.77010000000000001</v>
      </c>
      <c r="H22" s="43">
        <f t="shared" si="3"/>
        <v>28</v>
      </c>
      <c r="I22" s="57"/>
      <c r="J22" s="73">
        <v>27</v>
      </c>
      <c r="K22" s="43">
        <v>52</v>
      </c>
      <c r="L22" s="69" t="s">
        <v>469</v>
      </c>
      <c r="M22" s="121">
        <v>0.8004</v>
      </c>
      <c r="N22" s="113">
        <v>27654</v>
      </c>
      <c r="V22" s="84"/>
      <c r="W22" s="124"/>
    </row>
    <row r="23" spans="1:23" ht="17.25" customHeight="1" x14ac:dyDescent="0.2">
      <c r="A23" s="43">
        <v>22</v>
      </c>
      <c r="B23" s="69" t="s">
        <v>466</v>
      </c>
      <c r="C23" s="66">
        <v>2.5788425925925926E-2</v>
      </c>
      <c r="D23" s="59">
        <f t="shared" si="1"/>
        <v>57.14</v>
      </c>
      <c r="F23" s="43">
        <f t="shared" si="0"/>
        <v>37</v>
      </c>
      <c r="G23" s="121">
        <v>0.73250000000000004</v>
      </c>
      <c r="H23" s="43">
        <f t="shared" si="3"/>
        <v>34</v>
      </c>
      <c r="I23" s="57"/>
      <c r="J23" s="43">
        <v>7</v>
      </c>
      <c r="K23" s="73">
        <v>36</v>
      </c>
      <c r="L23" s="69" t="s">
        <v>459</v>
      </c>
      <c r="M23" s="121">
        <v>0.80020000000000002</v>
      </c>
      <c r="N23" s="113">
        <v>30013</v>
      </c>
      <c r="V23" s="84"/>
      <c r="W23" s="124"/>
    </row>
    <row r="24" spans="1:23" ht="17.25" customHeight="1" x14ac:dyDescent="0.2">
      <c r="A24" s="43">
        <v>23</v>
      </c>
      <c r="B24" s="69" t="s">
        <v>467</v>
      </c>
      <c r="C24" s="66">
        <v>2.5870717592592591E-2</v>
      </c>
      <c r="D24" s="59">
        <f t="shared" si="1"/>
        <v>55.1</v>
      </c>
      <c r="F24" s="43">
        <f t="shared" si="0"/>
        <v>41</v>
      </c>
      <c r="G24" s="121">
        <v>0.74980000000000002</v>
      </c>
      <c r="H24" s="43">
        <f t="shared" si="3"/>
        <v>33</v>
      </c>
      <c r="I24" s="57"/>
      <c r="J24" s="73">
        <v>18</v>
      </c>
      <c r="K24" s="43">
        <v>44</v>
      </c>
      <c r="L24" s="69" t="s">
        <v>464</v>
      </c>
      <c r="M24" s="121">
        <v>0.79530000000000001</v>
      </c>
      <c r="N24" s="113">
        <v>28649</v>
      </c>
      <c r="Q24" s="13"/>
      <c r="V24" s="84"/>
      <c r="W24" s="124"/>
    </row>
    <row r="25" spans="1:23" ht="17.25" customHeight="1" x14ac:dyDescent="0.2">
      <c r="A25" s="43">
        <v>24</v>
      </c>
      <c r="B25" s="69" t="s">
        <v>397</v>
      </c>
      <c r="C25" s="66">
        <v>2.6104629629629627E-2</v>
      </c>
      <c r="D25" s="59">
        <f t="shared" si="1"/>
        <v>53.06</v>
      </c>
      <c r="F25" s="43">
        <f t="shared" si="0"/>
        <v>62</v>
      </c>
      <c r="G25" s="121">
        <v>0.88900000000000001</v>
      </c>
      <c r="H25" s="43">
        <f t="shared" si="3"/>
        <v>1</v>
      </c>
      <c r="I25" s="57"/>
      <c r="J25" s="43">
        <v>32</v>
      </c>
      <c r="K25" s="43">
        <v>41</v>
      </c>
      <c r="L25" s="69" t="s">
        <v>452</v>
      </c>
      <c r="M25" s="121">
        <v>0.79039999999999999</v>
      </c>
      <c r="N25" s="113">
        <v>20975</v>
      </c>
      <c r="V25" s="84"/>
      <c r="W25" s="124"/>
    </row>
    <row r="26" spans="1:23" ht="17.25" customHeight="1" x14ac:dyDescent="0.2">
      <c r="A26" s="43">
        <v>25</v>
      </c>
      <c r="B26" s="69" t="s">
        <v>468</v>
      </c>
      <c r="C26" s="66">
        <v>2.6119907407407411E-2</v>
      </c>
      <c r="D26" s="59">
        <f t="shared" si="1"/>
        <v>51.02</v>
      </c>
      <c r="F26" s="43">
        <f>DATEDIF(N26,$N$1,"y")</f>
        <v>56</v>
      </c>
      <c r="G26" s="121">
        <v>0.84099999999999997</v>
      </c>
      <c r="H26" s="43">
        <f t="shared" si="3"/>
        <v>6</v>
      </c>
      <c r="I26" s="57"/>
      <c r="J26" s="43">
        <v>38</v>
      </c>
      <c r="K26" s="43">
        <v>34</v>
      </c>
      <c r="L26" s="69" t="s">
        <v>395</v>
      </c>
      <c r="M26" s="121">
        <v>0.78939999999999999</v>
      </c>
      <c r="N26" s="113">
        <v>23122</v>
      </c>
      <c r="V26" s="84"/>
      <c r="W26" s="124"/>
    </row>
    <row r="27" spans="1:23" ht="17.25" customHeight="1" x14ac:dyDescent="0.2">
      <c r="A27" s="43">
        <v>26</v>
      </c>
      <c r="B27" s="42" t="s">
        <v>450</v>
      </c>
      <c r="C27" s="66">
        <v>2.6197222222222219E-2</v>
      </c>
      <c r="D27" s="59">
        <f t="shared" si="1"/>
        <v>48.98</v>
      </c>
      <c r="F27" s="43">
        <f t="shared" si="0"/>
        <v>39</v>
      </c>
      <c r="G27" s="121">
        <v>0.82310000000000005</v>
      </c>
      <c r="H27" s="43">
        <f t="shared" si="3"/>
        <v>12</v>
      </c>
      <c r="I27" s="57"/>
      <c r="J27" s="73">
        <v>30</v>
      </c>
      <c r="K27" s="43">
        <v>40</v>
      </c>
      <c r="L27" s="67" t="s">
        <v>451</v>
      </c>
      <c r="M27" s="121">
        <v>0.78759999999999997</v>
      </c>
      <c r="N27" s="113">
        <v>29312</v>
      </c>
      <c r="V27" s="84"/>
      <c r="W27" s="124"/>
    </row>
    <row r="28" spans="1:23" ht="17.25" customHeight="1" x14ac:dyDescent="0.2">
      <c r="A28" s="43">
        <v>27</v>
      </c>
      <c r="B28" s="69" t="s">
        <v>469</v>
      </c>
      <c r="C28" s="66">
        <v>2.6504629629629628E-2</v>
      </c>
      <c r="D28" s="59">
        <f t="shared" si="1"/>
        <v>46.94</v>
      </c>
      <c r="F28" s="43">
        <f t="shared" si="0"/>
        <v>52</v>
      </c>
      <c r="G28" s="121">
        <v>0.8004</v>
      </c>
      <c r="H28" s="43">
        <f t="shared" si="3"/>
        <v>21</v>
      </c>
      <c r="I28" s="57"/>
      <c r="J28" s="43">
        <v>11</v>
      </c>
      <c r="K28" s="43">
        <v>35</v>
      </c>
      <c r="L28" s="69" t="s">
        <v>156</v>
      </c>
      <c r="M28" s="121">
        <v>0.77910000000000001</v>
      </c>
      <c r="N28" s="113">
        <v>24643</v>
      </c>
      <c r="V28" s="84"/>
      <c r="W28" s="124"/>
    </row>
    <row r="29" spans="1:23" ht="17.25" customHeight="1" x14ac:dyDescent="0.2">
      <c r="A29" s="43">
        <v>28</v>
      </c>
      <c r="B29" s="69" t="s">
        <v>470</v>
      </c>
      <c r="C29" s="66">
        <v>2.7299305555555556E-2</v>
      </c>
      <c r="D29" s="59">
        <f t="shared" si="1"/>
        <v>44.9</v>
      </c>
      <c r="F29" s="43">
        <f t="shared" si="0"/>
        <v>56</v>
      </c>
      <c r="G29" s="121">
        <v>0.80469999999999997</v>
      </c>
      <c r="H29" s="43">
        <f t="shared" si="3"/>
        <v>19</v>
      </c>
      <c r="I29" s="57"/>
      <c r="J29" s="73">
        <v>21</v>
      </c>
      <c r="K29" s="43">
        <v>43</v>
      </c>
      <c r="L29" s="69" t="s">
        <v>394</v>
      </c>
      <c r="M29" s="121">
        <v>0.77010000000000001</v>
      </c>
      <c r="N29" s="113">
        <v>22940</v>
      </c>
      <c r="V29" s="84"/>
      <c r="W29" s="124"/>
    </row>
    <row r="30" spans="1:23" ht="17.25" customHeight="1" x14ac:dyDescent="0.2">
      <c r="A30" s="43">
        <v>29</v>
      </c>
      <c r="B30" s="69" t="s">
        <v>149</v>
      </c>
      <c r="C30" s="66">
        <v>2.7309143518518517E-2</v>
      </c>
      <c r="D30" s="59">
        <f t="shared" si="1"/>
        <v>42.86</v>
      </c>
      <c r="F30" s="43">
        <f t="shared" si="0"/>
        <v>49</v>
      </c>
      <c r="G30" s="121">
        <v>0.75739999999999996</v>
      </c>
      <c r="H30" s="43">
        <f t="shared" si="3"/>
        <v>32</v>
      </c>
      <c r="I30" s="57"/>
      <c r="J30" s="73">
        <v>12</v>
      </c>
      <c r="K30" s="43">
        <v>27</v>
      </c>
      <c r="L30" s="69" t="s">
        <v>475</v>
      </c>
      <c r="M30" s="121">
        <v>0.76970000000000005</v>
      </c>
      <c r="N30" s="113">
        <v>25581</v>
      </c>
      <c r="V30" s="84"/>
      <c r="W30" s="124"/>
    </row>
    <row r="31" spans="1:23" ht="17.25" customHeight="1" x14ac:dyDescent="0.2">
      <c r="A31" s="43">
        <v>30</v>
      </c>
      <c r="B31" s="67" t="s">
        <v>451</v>
      </c>
      <c r="C31" s="66">
        <v>2.7537847222222221E-2</v>
      </c>
      <c r="D31" s="59">
        <f t="shared" si="1"/>
        <v>40.82</v>
      </c>
      <c r="F31" s="43">
        <f t="shared" si="0"/>
        <v>40</v>
      </c>
      <c r="G31" s="121">
        <v>0.78759999999999997</v>
      </c>
      <c r="H31" s="43">
        <f t="shared" si="3"/>
        <v>26</v>
      </c>
      <c r="I31" s="57"/>
      <c r="J31" s="43">
        <v>37</v>
      </c>
      <c r="K31" s="43">
        <v>56</v>
      </c>
      <c r="L31" s="69" t="s">
        <v>247</v>
      </c>
      <c r="M31" s="121">
        <v>0.76259999999999994</v>
      </c>
      <c r="N31" s="113">
        <v>28723</v>
      </c>
      <c r="V31" s="84"/>
      <c r="W31" s="124"/>
    </row>
    <row r="32" spans="1:23" ht="17.25" customHeight="1" x14ac:dyDescent="0.2">
      <c r="A32" s="43">
        <v>31</v>
      </c>
      <c r="B32" s="69" t="s">
        <v>386</v>
      </c>
      <c r="C32" s="66">
        <v>2.7576041666666665E-2</v>
      </c>
      <c r="D32" s="59">
        <f t="shared" si="1"/>
        <v>38.78</v>
      </c>
      <c r="F32" s="43">
        <f>DATEDIF(N32,$N$1,"y")</f>
        <v>41</v>
      </c>
      <c r="G32" s="121">
        <v>0.70340000000000003</v>
      </c>
      <c r="H32" s="43">
        <f t="shared" si="3"/>
        <v>38</v>
      </c>
      <c r="I32" s="57"/>
      <c r="J32" s="73">
        <v>15</v>
      </c>
      <c r="K32" s="43">
        <v>30</v>
      </c>
      <c r="L32" s="69" t="s">
        <v>461</v>
      </c>
      <c r="M32" s="121">
        <v>0.76070000000000004</v>
      </c>
      <c r="N32" s="113">
        <v>28651</v>
      </c>
      <c r="V32" s="84"/>
      <c r="W32" s="124"/>
    </row>
    <row r="33" spans="1:23" ht="17.25" customHeight="1" x14ac:dyDescent="0.2">
      <c r="A33" s="43">
        <v>32</v>
      </c>
      <c r="B33" s="69" t="s">
        <v>452</v>
      </c>
      <c r="C33" s="66">
        <v>2.7615856481481477E-2</v>
      </c>
      <c r="D33" s="59">
        <f t="shared" si="1"/>
        <v>36.729999999999997</v>
      </c>
      <c r="F33" s="43">
        <f t="shared" si="0"/>
        <v>41</v>
      </c>
      <c r="G33" s="121">
        <v>0.79039999999999999</v>
      </c>
      <c r="H33" s="43">
        <f t="shared" si="3"/>
        <v>24</v>
      </c>
      <c r="I33" s="57"/>
      <c r="J33" s="43">
        <v>29</v>
      </c>
      <c r="K33" s="43">
        <v>49</v>
      </c>
      <c r="L33" s="69" t="s">
        <v>149</v>
      </c>
      <c r="M33" s="121">
        <v>0.75739999999999996</v>
      </c>
      <c r="N33" s="113">
        <v>28672</v>
      </c>
      <c r="V33" s="84"/>
      <c r="W33" s="124"/>
    </row>
    <row r="34" spans="1:23" ht="17.25" customHeight="1" x14ac:dyDescent="0.2">
      <c r="A34" s="43">
        <v>33</v>
      </c>
      <c r="B34" s="69" t="s">
        <v>382</v>
      </c>
      <c r="C34" s="66">
        <v>2.7779050925925922E-2</v>
      </c>
      <c r="D34" s="59">
        <f t="shared" si="1"/>
        <v>34.69</v>
      </c>
      <c r="F34" s="43">
        <f t="shared" si="0"/>
        <v>37</v>
      </c>
      <c r="G34" s="121">
        <v>0.68</v>
      </c>
      <c r="H34" s="43">
        <f t="shared" si="3"/>
        <v>44</v>
      </c>
      <c r="I34" s="57"/>
      <c r="J34" s="43">
        <v>23</v>
      </c>
      <c r="K34" s="43">
        <v>41</v>
      </c>
      <c r="L34" s="69" t="s">
        <v>467</v>
      </c>
      <c r="M34" s="121">
        <v>0.74980000000000002</v>
      </c>
      <c r="N34" s="113">
        <v>29907</v>
      </c>
      <c r="V34" s="84"/>
      <c r="W34" s="124"/>
    </row>
    <row r="35" spans="1:23" ht="17.25" customHeight="1" x14ac:dyDescent="0.2">
      <c r="A35" s="43">
        <v>34</v>
      </c>
      <c r="B35" s="69" t="s">
        <v>384</v>
      </c>
      <c r="C35" s="66">
        <v>2.8386342592592595E-2</v>
      </c>
      <c r="D35" s="59">
        <f t="shared" si="1"/>
        <v>32.65</v>
      </c>
      <c r="F35" s="43">
        <f t="shared" si="0"/>
        <v>36</v>
      </c>
      <c r="G35" s="121">
        <v>0.66220000000000001</v>
      </c>
      <c r="H35" s="43">
        <f t="shared" si="3"/>
        <v>46</v>
      </c>
      <c r="I35" s="57"/>
      <c r="J35" s="43">
        <v>22</v>
      </c>
      <c r="K35" s="43">
        <v>37</v>
      </c>
      <c r="L35" s="69" t="s">
        <v>466</v>
      </c>
      <c r="M35" s="121">
        <v>0.73250000000000004</v>
      </c>
      <c r="N35" s="113">
        <v>30234</v>
      </c>
      <c r="V35" s="84"/>
      <c r="W35" s="124"/>
    </row>
    <row r="36" spans="1:23" ht="17.25" customHeight="1" x14ac:dyDescent="0.2">
      <c r="A36" s="43">
        <v>35</v>
      </c>
      <c r="B36" s="69" t="s">
        <v>250</v>
      </c>
      <c r="C36" s="66">
        <v>2.8602199074074075E-2</v>
      </c>
      <c r="D36" s="59">
        <f t="shared" si="1"/>
        <v>30.61</v>
      </c>
      <c r="F36" s="43">
        <f t="shared" si="0"/>
        <v>48</v>
      </c>
      <c r="G36" s="121">
        <v>0.81299999999999994</v>
      </c>
      <c r="H36" s="43">
        <f t="shared" si="3"/>
        <v>17</v>
      </c>
      <c r="I36" s="57"/>
      <c r="J36" s="43">
        <v>44</v>
      </c>
      <c r="K36" s="43">
        <v>58</v>
      </c>
      <c r="L36" s="69" t="s">
        <v>473</v>
      </c>
      <c r="M36" s="121">
        <v>0.72360000000000002</v>
      </c>
      <c r="N36" s="113">
        <v>26072</v>
      </c>
      <c r="V36" s="84"/>
      <c r="W36" s="124"/>
    </row>
    <row r="37" spans="1:23" ht="17.25" customHeight="1" x14ac:dyDescent="0.2">
      <c r="A37" s="43">
        <v>36</v>
      </c>
      <c r="B37" s="69" t="s">
        <v>471</v>
      </c>
      <c r="C37" s="66">
        <v>2.880428240740741E-2</v>
      </c>
      <c r="D37" s="59">
        <f t="shared" si="1"/>
        <v>28.57</v>
      </c>
      <c r="F37" s="43">
        <f t="shared" si="0"/>
        <v>36</v>
      </c>
      <c r="G37" s="121">
        <v>0.65249999999999997</v>
      </c>
      <c r="H37" s="43">
        <f t="shared" si="3"/>
        <v>47</v>
      </c>
      <c r="I37" s="57"/>
      <c r="J37" s="43">
        <v>46</v>
      </c>
      <c r="K37" s="43">
        <v>47</v>
      </c>
      <c r="L37" s="69" t="s">
        <v>453</v>
      </c>
      <c r="M37" s="121">
        <v>0.71830000000000005</v>
      </c>
      <c r="N37" s="113">
        <v>30232</v>
      </c>
      <c r="V37" s="84"/>
      <c r="W37" s="124"/>
    </row>
    <row r="38" spans="1:23" ht="17.25" customHeight="1" x14ac:dyDescent="0.2">
      <c r="A38" s="43">
        <v>37</v>
      </c>
      <c r="B38" s="69" t="s">
        <v>247</v>
      </c>
      <c r="C38" s="66">
        <v>2.8807638888888886E-2</v>
      </c>
      <c r="D38" s="59">
        <f t="shared" si="1"/>
        <v>26.53</v>
      </c>
      <c r="F38" s="43">
        <f t="shared" si="0"/>
        <v>56</v>
      </c>
      <c r="G38" s="121">
        <v>0.76259999999999994</v>
      </c>
      <c r="H38" s="43">
        <f t="shared" si="3"/>
        <v>30</v>
      </c>
      <c r="I38" s="57"/>
      <c r="J38" s="73">
        <v>42</v>
      </c>
      <c r="K38" s="43">
        <v>39</v>
      </c>
      <c r="L38" s="68" t="s">
        <v>379</v>
      </c>
      <c r="M38" s="121">
        <v>0.71660000000000001</v>
      </c>
      <c r="N38" s="113">
        <v>22905</v>
      </c>
      <c r="V38" s="84"/>
      <c r="W38" s="124"/>
    </row>
    <row r="39" spans="1:23" ht="17.25" customHeight="1" x14ac:dyDescent="0.2">
      <c r="A39" s="43">
        <v>38</v>
      </c>
      <c r="B39" s="69" t="s">
        <v>395</v>
      </c>
      <c r="C39" s="66">
        <v>2.9456944444444442E-2</v>
      </c>
      <c r="D39" s="59">
        <f t="shared" si="1"/>
        <v>24.49</v>
      </c>
      <c r="F39" s="43">
        <f t="shared" si="0"/>
        <v>34</v>
      </c>
      <c r="G39" s="121">
        <v>0.78939999999999999</v>
      </c>
      <c r="H39" s="43">
        <f t="shared" si="3"/>
        <v>25</v>
      </c>
      <c r="I39" s="57"/>
      <c r="J39" s="43">
        <v>31</v>
      </c>
      <c r="K39" s="43">
        <v>41</v>
      </c>
      <c r="L39" s="69" t="s">
        <v>386</v>
      </c>
      <c r="M39" s="121">
        <v>0.70340000000000003</v>
      </c>
      <c r="N39" s="113">
        <v>31157</v>
      </c>
      <c r="V39" s="84"/>
      <c r="W39" s="124"/>
    </row>
    <row r="40" spans="1:23" ht="17.25" customHeight="1" x14ac:dyDescent="0.2">
      <c r="A40" s="43">
        <v>39</v>
      </c>
      <c r="B40" s="69" t="s">
        <v>472</v>
      </c>
      <c r="C40" s="66">
        <v>2.9633796296296297E-2</v>
      </c>
      <c r="D40" s="59">
        <f t="shared" si="1"/>
        <v>22.45</v>
      </c>
      <c r="F40" s="43">
        <f t="shared" si="0"/>
        <v>49</v>
      </c>
      <c r="G40" s="121">
        <v>0.69789999999999996</v>
      </c>
      <c r="H40" s="43">
        <f t="shared" si="3"/>
        <v>39</v>
      </c>
      <c r="I40" s="57"/>
      <c r="J40" s="73">
        <v>39</v>
      </c>
      <c r="K40" s="43">
        <v>49</v>
      </c>
      <c r="L40" s="69" t="s">
        <v>472</v>
      </c>
      <c r="M40" s="121">
        <v>0.69789999999999996</v>
      </c>
      <c r="N40" s="113">
        <v>25449</v>
      </c>
      <c r="V40" s="84"/>
      <c r="W40" s="124"/>
    </row>
    <row r="41" spans="1:23" ht="17.25" customHeight="1" x14ac:dyDescent="0.2">
      <c r="A41" s="43">
        <v>40</v>
      </c>
      <c r="B41" s="69" t="s">
        <v>147</v>
      </c>
      <c r="C41" s="66">
        <v>2.9803356481481483E-2</v>
      </c>
      <c r="D41" s="59">
        <f t="shared" si="1"/>
        <v>20.41</v>
      </c>
      <c r="F41" s="43">
        <f t="shared" si="0"/>
        <v>48</v>
      </c>
      <c r="G41" s="121">
        <v>0.6885</v>
      </c>
      <c r="H41" s="43">
        <f t="shared" si="3"/>
        <v>42</v>
      </c>
      <c r="I41" s="57"/>
      <c r="J41" s="43">
        <v>41</v>
      </c>
      <c r="K41" s="43">
        <v>50</v>
      </c>
      <c r="L41" s="69" t="s">
        <v>424</v>
      </c>
      <c r="M41" s="121">
        <v>0.69379999999999997</v>
      </c>
      <c r="N41" s="113">
        <v>25984</v>
      </c>
      <c r="V41" s="84"/>
      <c r="W41" s="124"/>
    </row>
    <row r="42" spans="1:23" ht="17.25" customHeight="1" x14ac:dyDescent="0.2">
      <c r="A42" s="43">
        <v>41</v>
      </c>
      <c r="B42" s="69" t="s">
        <v>424</v>
      </c>
      <c r="C42" s="66">
        <v>3.007835648148148E-2</v>
      </c>
      <c r="D42" s="59">
        <f t="shared" si="1"/>
        <v>18.37</v>
      </c>
      <c r="F42" s="43">
        <f>DATEDIF(N42,$N$1,"y")</f>
        <v>50</v>
      </c>
      <c r="G42" s="121">
        <v>0.69379999999999997</v>
      </c>
      <c r="H42" s="43">
        <f t="shared" si="3"/>
        <v>40</v>
      </c>
      <c r="I42" s="57"/>
      <c r="J42" s="43">
        <v>49</v>
      </c>
      <c r="K42" s="43">
        <v>62</v>
      </c>
      <c r="L42" s="69" t="s">
        <v>474</v>
      </c>
      <c r="M42" s="121">
        <v>0.69159999999999999</v>
      </c>
      <c r="N42" s="113">
        <v>25147</v>
      </c>
      <c r="V42" s="84"/>
      <c r="W42" s="124"/>
    </row>
    <row r="43" spans="1:23" ht="17.25" customHeight="1" x14ac:dyDescent="0.2">
      <c r="A43" s="43">
        <v>42</v>
      </c>
      <c r="B43" s="68" t="s">
        <v>379</v>
      </c>
      <c r="C43" s="66">
        <v>3.0090046296296299E-2</v>
      </c>
      <c r="D43" s="59">
        <f t="shared" si="1"/>
        <v>16.329999999999998</v>
      </c>
      <c r="F43" s="43">
        <f t="shared" si="0"/>
        <v>39</v>
      </c>
      <c r="G43" s="121">
        <v>0.71660000000000001</v>
      </c>
      <c r="H43" s="43">
        <f t="shared" si="3"/>
        <v>37</v>
      </c>
      <c r="I43" s="57"/>
      <c r="J43" s="43">
        <v>40</v>
      </c>
      <c r="K43" s="43">
        <v>48</v>
      </c>
      <c r="L43" s="69" t="s">
        <v>147</v>
      </c>
      <c r="M43" s="121">
        <v>0.6885</v>
      </c>
      <c r="N43" s="113">
        <v>29064</v>
      </c>
      <c r="V43" s="84"/>
      <c r="W43" s="124"/>
    </row>
    <row r="44" spans="1:23" ht="17.25" customHeight="1" x14ac:dyDescent="0.2">
      <c r="A44" s="43">
        <v>43</v>
      </c>
      <c r="B44" s="69" t="s">
        <v>416</v>
      </c>
      <c r="C44" s="66">
        <v>3.0453240740740739E-2</v>
      </c>
      <c r="D44" s="59">
        <f t="shared" si="1"/>
        <v>14.29</v>
      </c>
      <c r="F44" s="43">
        <f t="shared" si="0"/>
        <v>41</v>
      </c>
      <c r="G44" s="121">
        <v>0.63700000000000001</v>
      </c>
      <c r="H44" s="43">
        <f t="shared" si="3"/>
        <v>48</v>
      </c>
      <c r="I44" s="57"/>
      <c r="J44" s="43">
        <v>47</v>
      </c>
      <c r="K44" s="43">
        <v>44</v>
      </c>
      <c r="L44" s="69" t="s">
        <v>454</v>
      </c>
      <c r="M44" s="121">
        <v>0.68300000000000005</v>
      </c>
      <c r="N44" s="113">
        <v>28398</v>
      </c>
      <c r="V44" s="84"/>
      <c r="W44" s="124"/>
    </row>
    <row r="45" spans="1:23" ht="17.25" customHeight="1" x14ac:dyDescent="0.2">
      <c r="A45" s="43">
        <v>44</v>
      </c>
      <c r="B45" s="69" t="s">
        <v>473</v>
      </c>
      <c r="C45" s="66">
        <v>3.090023148148148E-2</v>
      </c>
      <c r="D45" s="59">
        <f t="shared" si="1"/>
        <v>12.24</v>
      </c>
      <c r="F45" s="43">
        <f t="shared" si="0"/>
        <v>58</v>
      </c>
      <c r="G45" s="121">
        <v>0.72360000000000002</v>
      </c>
      <c r="H45" s="43">
        <f t="shared" si="3"/>
        <v>35</v>
      </c>
      <c r="I45" s="57"/>
      <c r="J45" s="73">
        <v>33</v>
      </c>
      <c r="K45" s="43">
        <v>37</v>
      </c>
      <c r="L45" s="69" t="s">
        <v>382</v>
      </c>
      <c r="M45" s="121">
        <v>0.68</v>
      </c>
      <c r="N45" s="113">
        <v>22192</v>
      </c>
      <c r="V45" s="84"/>
      <c r="W45" s="124"/>
    </row>
    <row r="46" spans="1:23" ht="17.25" customHeight="1" x14ac:dyDescent="0.2">
      <c r="A46" s="43">
        <v>45</v>
      </c>
      <c r="B46" s="69" t="s">
        <v>413</v>
      </c>
      <c r="C46" s="66">
        <v>3.1883101851851857E-2</v>
      </c>
      <c r="D46" s="59">
        <f t="shared" si="1"/>
        <v>10.199999999999999</v>
      </c>
      <c r="F46" s="43">
        <f t="shared" si="0"/>
        <v>33</v>
      </c>
      <c r="G46" s="121">
        <v>0.66249999999999998</v>
      </c>
      <c r="H46" s="43">
        <f t="shared" si="3"/>
        <v>45</v>
      </c>
      <c r="I46" s="57"/>
      <c r="J46" s="73">
        <v>45</v>
      </c>
      <c r="K46" s="43">
        <v>33</v>
      </c>
      <c r="L46" s="69" t="s">
        <v>413</v>
      </c>
      <c r="M46" s="121">
        <v>0.66249999999999998</v>
      </c>
      <c r="N46" s="113">
        <v>31448</v>
      </c>
      <c r="V46" s="84"/>
      <c r="W46" s="124"/>
    </row>
    <row r="47" spans="1:23" ht="17.25" customHeight="1" x14ac:dyDescent="0.2">
      <c r="A47" s="43">
        <v>46</v>
      </c>
      <c r="B47" s="69" t="s">
        <v>453</v>
      </c>
      <c r="C47" s="66">
        <v>3.1998842592592593E-2</v>
      </c>
      <c r="D47" s="59">
        <f t="shared" si="1"/>
        <v>8.16</v>
      </c>
      <c r="F47" s="43">
        <f t="shared" si="0"/>
        <v>47</v>
      </c>
      <c r="G47" s="121">
        <v>0.71830000000000005</v>
      </c>
      <c r="H47" s="43">
        <f t="shared" si="3"/>
        <v>36</v>
      </c>
      <c r="I47" s="57"/>
      <c r="J47" s="43">
        <v>34</v>
      </c>
      <c r="K47" s="43">
        <v>36</v>
      </c>
      <c r="L47" s="69" t="s">
        <v>384</v>
      </c>
      <c r="M47" s="121">
        <v>0.66220000000000001</v>
      </c>
      <c r="N47" s="113">
        <v>26270</v>
      </c>
      <c r="V47" s="84"/>
      <c r="W47" s="124"/>
    </row>
    <row r="48" spans="1:23" ht="17.25" customHeight="1" x14ac:dyDescent="0.2">
      <c r="A48" s="43">
        <v>47</v>
      </c>
      <c r="B48" s="69" t="s">
        <v>454</v>
      </c>
      <c r="C48" s="66">
        <v>3.268923611111111E-2</v>
      </c>
      <c r="D48" s="59">
        <f t="shared" si="1"/>
        <v>6.12</v>
      </c>
      <c r="F48" s="43">
        <f t="shared" si="0"/>
        <v>44</v>
      </c>
      <c r="G48" s="121">
        <v>0.68300000000000005</v>
      </c>
      <c r="H48" s="43">
        <f t="shared" si="3"/>
        <v>43</v>
      </c>
      <c r="I48" s="57"/>
      <c r="J48" s="73">
        <v>36</v>
      </c>
      <c r="K48" s="43">
        <v>36</v>
      </c>
      <c r="L48" s="69" t="s">
        <v>471</v>
      </c>
      <c r="M48" s="121">
        <v>0.65249999999999997</v>
      </c>
      <c r="N48" s="113">
        <v>27406</v>
      </c>
      <c r="V48" s="84"/>
      <c r="W48" s="124"/>
    </row>
    <row r="49" spans="1:23" ht="17.25" customHeight="1" x14ac:dyDescent="0.2">
      <c r="A49" s="43">
        <v>48</v>
      </c>
      <c r="B49" s="69" t="s">
        <v>378</v>
      </c>
      <c r="C49" s="66">
        <v>3.3061226851851852E-2</v>
      </c>
      <c r="D49" s="59">
        <f t="shared" si="1"/>
        <v>4.08</v>
      </c>
      <c r="F49" s="43">
        <f t="shared" si="0"/>
        <v>45</v>
      </c>
      <c r="G49" s="121">
        <v>0.60560000000000003</v>
      </c>
      <c r="H49" s="43">
        <f t="shared" si="3"/>
        <v>49</v>
      </c>
      <c r="I49" s="57"/>
      <c r="J49" s="43">
        <v>43</v>
      </c>
      <c r="K49" s="43">
        <v>41</v>
      </c>
      <c r="L49" s="69" t="s">
        <v>416</v>
      </c>
      <c r="M49" s="121">
        <v>0.63700000000000001</v>
      </c>
      <c r="N49" s="113">
        <v>27190</v>
      </c>
      <c r="V49" s="84"/>
      <c r="W49" s="124"/>
    </row>
    <row r="50" spans="1:23" ht="17.25" customHeight="1" x14ac:dyDescent="0.2">
      <c r="A50" s="43">
        <v>49</v>
      </c>
      <c r="B50" s="69" t="s">
        <v>474</v>
      </c>
      <c r="C50" s="66">
        <v>3.3553935185185187E-2</v>
      </c>
      <c r="D50" s="59">
        <f t="shared" si="1"/>
        <v>2.04</v>
      </c>
      <c r="F50" s="43">
        <f t="shared" si="0"/>
        <v>62</v>
      </c>
      <c r="G50" s="121">
        <v>0.69159999999999999</v>
      </c>
      <c r="H50" s="43">
        <f t="shared" si="3"/>
        <v>41</v>
      </c>
      <c r="I50" s="57"/>
      <c r="J50" s="73">
        <v>48</v>
      </c>
      <c r="K50" s="43">
        <v>45</v>
      </c>
      <c r="L50" s="69" t="s">
        <v>378</v>
      </c>
      <c r="M50" s="121">
        <v>0.60560000000000003</v>
      </c>
      <c r="N50" s="113">
        <v>20819</v>
      </c>
      <c r="V50" s="84"/>
      <c r="W50" s="124"/>
    </row>
    <row r="51" spans="1:23" ht="17.25" customHeight="1" x14ac:dyDescent="0.2">
      <c r="A51" s="65"/>
      <c r="B51" s="65"/>
      <c r="C51" s="65"/>
      <c r="D51" s="65"/>
      <c r="L51" s="65"/>
    </row>
    <row r="52" spans="1:23" ht="17.25" customHeight="1" x14ac:dyDescent="0.2">
      <c r="A52" s="43" t="s">
        <v>25</v>
      </c>
      <c r="B52" s="60">
        <v>49</v>
      </c>
      <c r="C52" s="65" t="s">
        <v>28</v>
      </c>
      <c r="D52" s="115">
        <f>SUM(D2:D50)</f>
        <v>2499.9999999999995</v>
      </c>
      <c r="F52" s="116">
        <f>AVERAGE(F2:F50)</f>
        <v>43.428571428571431</v>
      </c>
      <c r="G52" s="178">
        <f>AVERAGE(G2:G50)</f>
        <v>0.77005102040816331</v>
      </c>
    </row>
  </sheetData>
  <sheetProtection algorithmName="SHA-512" hashValue="Ub/RI7CciCSEpISfsYkDo2qPf5H3aNrlFdQZRG1QLStlM7kT8FPi/iUzcuYms/+cYN6t2mzH3Y8AohYCiaSMoQ==" saltValue="NS8AZ5sqo7fONTyCHlDTPw==" spinCount="100000" sheet="1" objects="1" scenarios="1"/>
  <sortState xmlns:xlrd2="http://schemas.microsoft.com/office/spreadsheetml/2017/richdata2" ref="J2:M50">
    <sortCondition descending="1" ref="M2:M5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Progress points - Female</vt:lpstr>
      <vt:lpstr>Progress points - Male</vt:lpstr>
      <vt:lpstr>2 Bridges Relay</vt:lpstr>
      <vt:lpstr>5M's</vt:lpstr>
      <vt:lpstr>Mile handicap</vt:lpstr>
      <vt:lpstr>5000m handicap</vt:lpstr>
      <vt:lpstr>KL handicap</vt:lpstr>
      <vt:lpstr>3000m handicap</vt:lpstr>
      <vt:lpstr>10 km</vt:lpstr>
      <vt:lpstr>Peter Moor 2000m</vt:lpstr>
      <vt:lpstr>Max Howard Tan handicap</vt:lpstr>
      <vt:lpstr>parkrun</vt:lpstr>
      <vt:lpstr>'Progress points - Female'!Print_Area</vt:lpstr>
      <vt:lpstr>'Progress points - Male'!Print_Area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howard</dc:creator>
  <cp:lastModifiedBy>Shane Fielding</cp:lastModifiedBy>
  <cp:lastPrinted>2017-11-24T01:37:13Z</cp:lastPrinted>
  <dcterms:created xsi:type="dcterms:W3CDTF">2005-10-17T21:31:53Z</dcterms:created>
  <dcterms:modified xsi:type="dcterms:W3CDTF">2019-10-08T21:58:34Z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