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ersonal\"/>
    </mc:Choice>
  </mc:AlternateContent>
  <bookViews>
    <workbookView xWindow="0" yWindow="0" windowWidth="28800" windowHeight="12060" tabRatio="596" activeTab="1"/>
  </bookViews>
  <sheets>
    <sheet name="Team Selection" sheetId="3" r:id="rId1"/>
    <sheet name="Stage Entry" sheetId="2" r:id="rId2"/>
    <sheet name="Teams by Stage" sheetId="7" r:id="rId3"/>
    <sheet name="Stage-by-Stage" sheetId="9" r:id="rId4"/>
    <sheet name="Runner Performance" sheetId="1" r:id="rId5"/>
    <sheet name="Data" sheetId="10" r:id="rId6"/>
  </sheets>
  <definedNames>
    <definedName name="Dist1">'Stage Entry'!$I$2</definedName>
    <definedName name="Dist10">'Stage Entry'!$X$14</definedName>
    <definedName name="Dist11">'Stage Entry'!$AC$14</definedName>
    <definedName name="Dist12">'Stage Entry'!$AH$14</definedName>
    <definedName name="Dist13">'Stage Entry'!$AM$14</definedName>
    <definedName name="Dist14">'Stage Entry'!$AR$14</definedName>
    <definedName name="Dist2">'Stage Entry'!$S$2</definedName>
    <definedName name="Dist3">'Stage Entry'!$X$2</definedName>
    <definedName name="Dist4">'Stage Entry'!$AC$2</definedName>
    <definedName name="Dist5">'Stage Entry'!$AH$2</definedName>
    <definedName name="Dist6">'Stage Entry'!$AM$2</definedName>
    <definedName name="Dist7">'Stage Entry'!$AR$2</definedName>
    <definedName name="Dist8">'Stage Entry'!$I$14</definedName>
    <definedName name="Dist9">'Stage Entry'!$S$14</definedName>
    <definedName name="_xlnm.Print_Area" localSheetId="1">'Stage Entry'!$A$1:$AY$23</definedName>
    <definedName name="_xlnm.Print_Area" localSheetId="0">'Team Selection'!$B$1:$J$11</definedName>
    <definedName name="_xlnm.Print_Titles" localSheetId="1">'Stage Entry'!$A:$G</definedName>
    <definedName name="RunnerName">#REF!</definedName>
    <definedName name="Stage">#REF!</definedName>
    <definedName name="Stage1">#REF!</definedName>
    <definedName name="Stage10">#REF!</definedName>
    <definedName name="Stage11">#REF!</definedName>
    <definedName name="Stage12">#REF!</definedName>
    <definedName name="Stage13">#REF!</definedName>
    <definedName name="Stage14">#REF!</definedName>
    <definedName name="Stage15">#REF!</definedName>
    <definedName name="Stage16">#REF!</definedName>
    <definedName name="Stage2">#REF!</definedName>
    <definedName name="Stage3">#REF!</definedName>
    <definedName name="Stage4">#REF!</definedName>
    <definedName name="Stage5">#REF!</definedName>
    <definedName name="Stage6">#REF!</definedName>
    <definedName name="Stage7">#REF!</definedName>
    <definedName name="Stage8">#REF!</definedName>
    <definedName name="Stage9">#REF!</definedName>
    <definedName name="Team1">'Team Selection'!$D$3:$J$3</definedName>
    <definedName name="Team1Result">#REF!</definedName>
    <definedName name="Team1Runner1">#REF!</definedName>
    <definedName name="Team1Runner2">#REF!</definedName>
    <definedName name="Team1Runner3">#REF!</definedName>
    <definedName name="Team1Runner4">#REF!</definedName>
    <definedName name="Team2">'Team Selection'!$D$4:$J$4</definedName>
    <definedName name="Team2Result">#REF!</definedName>
    <definedName name="Team2Runner1">#REF!</definedName>
    <definedName name="Team2Runner2">#REF!</definedName>
    <definedName name="Team2Runner3">#REF!</definedName>
    <definedName name="Team2Runner4">#REF!</definedName>
    <definedName name="Team3">'Team Selection'!$D$5:$J$5</definedName>
    <definedName name="Team3Result">#REF!</definedName>
    <definedName name="Team3Runner1">#REF!</definedName>
    <definedName name="Team3Runner2">#REF!</definedName>
    <definedName name="Team3Runner3">#REF!</definedName>
    <definedName name="Team3Runner4">#REF!</definedName>
    <definedName name="Team4">'Team Selection'!$D$9:$J$9</definedName>
    <definedName name="Team4Result">#REF!</definedName>
    <definedName name="Team4Runner1">#REF!</definedName>
    <definedName name="Team4Runner2">#REF!</definedName>
    <definedName name="Team4Runner3">#REF!</definedName>
    <definedName name="Team4Runner4">#REF!</definedName>
    <definedName name="Team5">'Team Selection'!#REF!</definedName>
    <definedName name="Team5Result">#REF!</definedName>
    <definedName name="Team5Runner1">#REF!</definedName>
    <definedName name="Team5Runner2">#REF!</definedName>
    <definedName name="Team5Runner3">#REF!</definedName>
    <definedName name="Team5Runner4">#REF!</definedName>
    <definedName name="Team6">'Team Selection'!#REF!</definedName>
    <definedName name="Team6Result">#REF!</definedName>
    <definedName name="Team6Runner1">#REF!</definedName>
    <definedName name="Team6Runner2">#REF!</definedName>
    <definedName name="Team6Runner3">#REF!</definedName>
    <definedName name="Team6Runner4">#REF!</definedName>
  </definedNames>
  <calcPr calcId="152511"/>
</workbook>
</file>

<file path=xl/calcChain.xml><?xml version="1.0" encoding="utf-8"?>
<calcChain xmlns="http://schemas.openxmlformats.org/spreadsheetml/2006/main">
  <c r="AB47" i="1" l="1"/>
  <c r="AB46" i="1"/>
  <c r="AB45" i="1"/>
  <c r="AB44" i="1"/>
  <c r="AB43" i="1"/>
  <c r="AB42" i="1"/>
  <c r="AB41" i="1"/>
  <c r="AB40" i="1"/>
  <c r="AB39" i="1"/>
  <c r="AB27" i="1"/>
  <c r="AB35" i="1"/>
  <c r="AB34" i="1"/>
  <c r="AB33" i="1"/>
  <c r="AB32" i="1"/>
  <c r="AB31" i="1"/>
  <c r="AB30" i="1"/>
  <c r="AB29" i="1"/>
  <c r="AB28" i="1"/>
  <c r="AB23" i="1"/>
  <c r="AB22" i="1"/>
  <c r="AB21" i="1"/>
  <c r="AB20" i="1"/>
  <c r="AB19" i="1"/>
  <c r="AB18" i="1"/>
  <c r="AB17" i="1"/>
  <c r="AB16" i="1"/>
  <c r="AB15" i="1"/>
  <c r="AB4" i="1"/>
  <c r="AB5" i="1"/>
  <c r="AB6" i="1"/>
  <c r="AB7" i="1"/>
  <c r="AB8" i="1"/>
  <c r="AB9" i="1"/>
  <c r="AB10" i="1"/>
  <c r="AB11" i="1"/>
  <c r="AB3" i="1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15" i="3"/>
  <c r="G138" i="10"/>
  <c r="G139" i="10"/>
  <c r="G140" i="10"/>
  <c r="G141" i="10"/>
  <c r="G142" i="10"/>
  <c r="G143" i="10"/>
  <c r="G144" i="10"/>
  <c r="G145" i="10"/>
  <c r="G137" i="10"/>
  <c r="G129" i="10"/>
  <c r="G130" i="10"/>
  <c r="G131" i="10"/>
  <c r="G132" i="10"/>
  <c r="G133" i="10"/>
  <c r="G134" i="10"/>
  <c r="G135" i="10"/>
  <c r="G136" i="10"/>
  <c r="G128" i="10"/>
  <c r="G120" i="10"/>
  <c r="G121" i="10"/>
  <c r="G122" i="10"/>
  <c r="G123" i="10"/>
  <c r="G124" i="10"/>
  <c r="G125" i="10"/>
  <c r="G126" i="10"/>
  <c r="G127" i="10"/>
  <c r="G119" i="10"/>
  <c r="G111" i="10"/>
  <c r="G112" i="10"/>
  <c r="G113" i="10"/>
  <c r="G114" i="10"/>
  <c r="G115" i="10"/>
  <c r="G116" i="10"/>
  <c r="G117" i="10"/>
  <c r="G118" i="10"/>
  <c r="G110" i="10"/>
  <c r="G102" i="10"/>
  <c r="G103" i="10"/>
  <c r="G104" i="10"/>
  <c r="G105" i="10"/>
  <c r="G106" i="10"/>
  <c r="G107" i="10"/>
  <c r="G108" i="10"/>
  <c r="G109" i="10"/>
  <c r="G101" i="10"/>
  <c r="G93" i="10"/>
  <c r="G94" i="10"/>
  <c r="G95" i="10"/>
  <c r="G96" i="10"/>
  <c r="G97" i="10"/>
  <c r="G98" i="10"/>
  <c r="G99" i="10"/>
  <c r="G100" i="10"/>
  <c r="G92" i="10"/>
  <c r="G84" i="10"/>
  <c r="G85" i="10"/>
  <c r="G86" i="10"/>
  <c r="G87" i="10"/>
  <c r="G88" i="10"/>
  <c r="G89" i="10"/>
  <c r="G90" i="10"/>
  <c r="G91" i="10"/>
  <c r="G83" i="10"/>
  <c r="G75" i="10"/>
  <c r="G76" i="10"/>
  <c r="G77" i="10"/>
  <c r="G78" i="10"/>
  <c r="G79" i="10"/>
  <c r="G80" i="10"/>
  <c r="G81" i="10"/>
  <c r="G82" i="10"/>
  <c r="G74" i="10"/>
  <c r="G66" i="10"/>
  <c r="G67" i="10"/>
  <c r="G68" i="10"/>
  <c r="G69" i="10"/>
  <c r="G70" i="10"/>
  <c r="G71" i="10"/>
  <c r="G72" i="10"/>
  <c r="G73" i="10"/>
  <c r="G65" i="10"/>
  <c r="G57" i="10"/>
  <c r="G58" i="10"/>
  <c r="G59" i="10"/>
  <c r="G60" i="10"/>
  <c r="G61" i="10"/>
  <c r="G62" i="10"/>
  <c r="G63" i="10"/>
  <c r="G64" i="10"/>
  <c r="G56" i="10"/>
  <c r="G48" i="10"/>
  <c r="G49" i="10"/>
  <c r="G50" i="10"/>
  <c r="G51" i="10"/>
  <c r="G52" i="10"/>
  <c r="G53" i="10"/>
  <c r="G54" i="10"/>
  <c r="G55" i="10"/>
  <c r="G47" i="10"/>
  <c r="G39" i="10"/>
  <c r="G40" i="10"/>
  <c r="G41" i="10"/>
  <c r="G42" i="10"/>
  <c r="G43" i="10"/>
  <c r="G44" i="10"/>
  <c r="G45" i="10"/>
  <c r="G46" i="10"/>
  <c r="G38" i="10"/>
  <c r="X2" i="2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AY16" i="7"/>
  <c r="AZ16" i="7"/>
  <c r="BA16" i="7"/>
  <c r="BB16" i="7"/>
  <c r="BC16" i="7"/>
  <c r="BD16" i="7"/>
  <c r="BE16" i="7"/>
  <c r="BF16" i="7"/>
  <c r="BG16" i="7"/>
  <c r="BH16" i="7"/>
  <c r="BI16" i="7"/>
  <c r="BJ16" i="7"/>
  <c r="BK16" i="7"/>
  <c r="BL16" i="7"/>
  <c r="BM16" i="7"/>
  <c r="BN16" i="7"/>
  <c r="AY17" i="7"/>
  <c r="AZ17" i="7"/>
  <c r="BA17" i="7"/>
  <c r="BB17" i="7"/>
  <c r="BC17" i="7"/>
  <c r="BD17" i="7"/>
  <c r="BE17" i="7"/>
  <c r="BF17" i="7"/>
  <c r="BG17" i="7"/>
  <c r="BH17" i="7"/>
  <c r="BI17" i="7"/>
  <c r="BJ17" i="7"/>
  <c r="BK17" i="7"/>
  <c r="BL17" i="7"/>
  <c r="BM17" i="7"/>
  <c r="BN17" i="7"/>
  <c r="AY18" i="7"/>
  <c r="AY19" i="7"/>
  <c r="AZ19" i="7"/>
  <c r="BA19" i="7"/>
  <c r="BB19" i="7"/>
  <c r="BC19" i="7"/>
  <c r="BD19" i="7"/>
  <c r="BE19" i="7"/>
  <c r="BF19" i="7"/>
  <c r="BG19" i="7"/>
  <c r="BH19" i="7"/>
  <c r="BI19" i="7"/>
  <c r="BJ19" i="7"/>
  <c r="BK19" i="7"/>
  <c r="BL19" i="7"/>
  <c r="BM19" i="7"/>
  <c r="BN19" i="7"/>
  <c r="AY20" i="7"/>
  <c r="AZ20" i="7"/>
  <c r="BA20" i="7"/>
  <c r="AY21" i="7"/>
  <c r="AZ21" i="7"/>
  <c r="BA21" i="7"/>
  <c r="BB21" i="7"/>
  <c r="BC21" i="7"/>
  <c r="BD21" i="7"/>
  <c r="BE21" i="7"/>
  <c r="BF21" i="7"/>
  <c r="BG21" i="7"/>
  <c r="BH21" i="7"/>
  <c r="BI21" i="7"/>
  <c r="BJ21" i="7"/>
  <c r="BK21" i="7"/>
  <c r="BL21" i="7"/>
  <c r="BM21" i="7"/>
  <c r="BN21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BK22" i="7"/>
  <c r="BL22" i="7"/>
  <c r="BM22" i="7"/>
  <c r="BN22" i="7"/>
  <c r="AY23" i="7"/>
  <c r="AZ23" i="7"/>
  <c r="BA23" i="7"/>
  <c r="BB23" i="7"/>
  <c r="BC23" i="7"/>
  <c r="BD23" i="7"/>
  <c r="BE23" i="7"/>
  <c r="BF23" i="7"/>
  <c r="BG23" i="7"/>
  <c r="BH23" i="7"/>
  <c r="BI23" i="7"/>
  <c r="BJ23" i="7"/>
  <c r="BK23" i="7"/>
  <c r="BL23" i="7"/>
  <c r="BM23" i="7"/>
  <c r="BN23" i="7"/>
  <c r="H86" i="2"/>
  <c r="H87" i="2"/>
  <c r="H88" i="2"/>
  <c r="H89" i="2"/>
  <c r="H90" i="2"/>
  <c r="H91" i="2"/>
  <c r="H92" i="2"/>
  <c r="H93" i="2"/>
  <c r="H85" i="2"/>
  <c r="H77" i="2"/>
  <c r="H78" i="2"/>
  <c r="H79" i="2"/>
  <c r="H80" i="2"/>
  <c r="H81" i="2"/>
  <c r="H82" i="2"/>
  <c r="H83" i="2"/>
  <c r="H84" i="2"/>
  <c r="H76" i="2"/>
  <c r="H68" i="2"/>
  <c r="H69" i="2"/>
  <c r="H70" i="2"/>
  <c r="H71" i="2"/>
  <c r="H72" i="2"/>
  <c r="H73" i="2"/>
  <c r="H74" i="2"/>
  <c r="H75" i="2"/>
  <c r="H67" i="2"/>
  <c r="H59" i="2"/>
  <c r="H60" i="2"/>
  <c r="H61" i="2"/>
  <c r="Z5" i="2" s="1"/>
  <c r="H62" i="2"/>
  <c r="H63" i="2"/>
  <c r="H64" i="2"/>
  <c r="H65" i="2"/>
  <c r="H66" i="2"/>
  <c r="AD9" i="2"/>
  <c r="E138" i="10"/>
  <c r="E139" i="10"/>
  <c r="E140" i="10"/>
  <c r="E141" i="10"/>
  <c r="E142" i="10"/>
  <c r="E143" i="10"/>
  <c r="E144" i="10"/>
  <c r="E145" i="10"/>
  <c r="E137" i="10"/>
  <c r="E129" i="10"/>
  <c r="E130" i="10"/>
  <c r="E131" i="10"/>
  <c r="E132" i="10"/>
  <c r="E133" i="10"/>
  <c r="E134" i="10"/>
  <c r="E135" i="10"/>
  <c r="E136" i="10"/>
  <c r="E128" i="10"/>
  <c r="E120" i="10"/>
  <c r="E121" i="10"/>
  <c r="E122" i="10"/>
  <c r="E123" i="10"/>
  <c r="E124" i="10"/>
  <c r="E125" i="10"/>
  <c r="E126" i="10"/>
  <c r="E127" i="10"/>
  <c r="E119" i="10"/>
  <c r="E111" i="10"/>
  <c r="E112" i="10"/>
  <c r="E113" i="10"/>
  <c r="E114" i="10"/>
  <c r="E115" i="10"/>
  <c r="E116" i="10"/>
  <c r="E117" i="10"/>
  <c r="E118" i="10"/>
  <c r="E110" i="10"/>
  <c r="E102" i="10"/>
  <c r="E103" i="10"/>
  <c r="E104" i="10"/>
  <c r="E105" i="10"/>
  <c r="E106" i="10"/>
  <c r="E107" i="10"/>
  <c r="E108" i="10"/>
  <c r="E109" i="10"/>
  <c r="E101" i="10"/>
  <c r="E93" i="10"/>
  <c r="E94" i="10"/>
  <c r="E95" i="10"/>
  <c r="E96" i="10"/>
  <c r="E97" i="10"/>
  <c r="E98" i="10"/>
  <c r="E99" i="10"/>
  <c r="E100" i="10"/>
  <c r="E92" i="10"/>
  <c r="E84" i="10"/>
  <c r="E85" i="10"/>
  <c r="E86" i="10"/>
  <c r="E87" i="10"/>
  <c r="E88" i="10"/>
  <c r="E89" i="10"/>
  <c r="E90" i="10"/>
  <c r="E91" i="10"/>
  <c r="E83" i="10"/>
  <c r="E75" i="10"/>
  <c r="E76" i="10"/>
  <c r="E77" i="10"/>
  <c r="E78" i="10"/>
  <c r="E79" i="10"/>
  <c r="E80" i="10"/>
  <c r="E81" i="10"/>
  <c r="E82" i="10"/>
  <c r="E74" i="10"/>
  <c r="E66" i="10"/>
  <c r="E67" i="10"/>
  <c r="E68" i="10"/>
  <c r="E69" i="10"/>
  <c r="E70" i="10"/>
  <c r="E71" i="10"/>
  <c r="E72" i="10"/>
  <c r="E73" i="10"/>
  <c r="E65" i="10"/>
  <c r="E57" i="10"/>
  <c r="E58" i="10"/>
  <c r="E59" i="10"/>
  <c r="E60" i="10"/>
  <c r="E61" i="10"/>
  <c r="E62" i="10"/>
  <c r="E63" i="10"/>
  <c r="E64" i="10"/>
  <c r="E56" i="10"/>
  <c r="E48" i="10"/>
  <c r="E49" i="10"/>
  <c r="E50" i="10"/>
  <c r="E51" i="10"/>
  <c r="E52" i="10"/>
  <c r="E53" i="10"/>
  <c r="E54" i="10"/>
  <c r="E55" i="10"/>
  <c r="E47" i="10"/>
  <c r="E39" i="10"/>
  <c r="E40" i="10"/>
  <c r="E41" i="10"/>
  <c r="E42" i="10"/>
  <c r="E43" i="10"/>
  <c r="E44" i="10"/>
  <c r="E45" i="10"/>
  <c r="E46" i="10"/>
  <c r="E38" i="10"/>
  <c r="E30" i="10"/>
  <c r="E31" i="10"/>
  <c r="E32" i="10"/>
  <c r="E33" i="10"/>
  <c r="E34" i="10"/>
  <c r="E35" i="10"/>
  <c r="E36" i="10"/>
  <c r="E37" i="10"/>
  <c r="E29" i="10"/>
  <c r="E21" i="10"/>
  <c r="E22" i="10"/>
  <c r="E23" i="10"/>
  <c r="E24" i="10"/>
  <c r="E25" i="10"/>
  <c r="E26" i="10"/>
  <c r="E27" i="10"/>
  <c r="E28" i="10"/>
  <c r="E20" i="10"/>
  <c r="E12" i="10"/>
  <c r="E13" i="10"/>
  <c r="E14" i="10"/>
  <c r="E15" i="10"/>
  <c r="E16" i="10"/>
  <c r="E17" i="10"/>
  <c r="E18" i="10"/>
  <c r="E19" i="10"/>
  <c r="E11" i="10"/>
  <c r="E3" i="10"/>
  <c r="E4" i="10"/>
  <c r="E5" i="10"/>
  <c r="E6" i="10"/>
  <c r="E7" i="10"/>
  <c r="E8" i="10"/>
  <c r="E9" i="10"/>
  <c r="E10" i="10"/>
  <c r="B40" i="1"/>
  <c r="B41" i="1"/>
  <c r="B42" i="1"/>
  <c r="B43" i="1"/>
  <c r="B44" i="1"/>
  <c r="B45" i="1"/>
  <c r="B46" i="1"/>
  <c r="B47" i="1"/>
  <c r="B28" i="1"/>
  <c r="B29" i="1"/>
  <c r="B30" i="1"/>
  <c r="B31" i="1"/>
  <c r="B32" i="1"/>
  <c r="B33" i="1"/>
  <c r="B34" i="1"/>
  <c r="B35" i="1"/>
  <c r="B16" i="1"/>
  <c r="B17" i="1"/>
  <c r="B18" i="1"/>
  <c r="B19" i="1"/>
  <c r="B20" i="1"/>
  <c r="B21" i="1"/>
  <c r="B22" i="1"/>
  <c r="B23" i="1"/>
  <c r="B4" i="1"/>
  <c r="B5" i="1"/>
  <c r="B6" i="1"/>
  <c r="B7" i="1"/>
  <c r="B8" i="1"/>
  <c r="B9" i="1"/>
  <c r="B10" i="1"/>
  <c r="B11" i="1"/>
  <c r="B5" i="7"/>
  <c r="C5" i="7"/>
  <c r="D5" i="7" s="1"/>
  <c r="G5" i="7" s="1"/>
  <c r="E5" i="7"/>
  <c r="F5" i="7"/>
  <c r="H5" i="7"/>
  <c r="I5" i="7"/>
  <c r="K5" i="7"/>
  <c r="L5" i="7"/>
  <c r="N5" i="7"/>
  <c r="O5" i="7"/>
  <c r="Q5" i="7"/>
  <c r="R5" i="7"/>
  <c r="T5" i="7"/>
  <c r="U5" i="7"/>
  <c r="W5" i="7"/>
  <c r="X5" i="7"/>
  <c r="Z5" i="7"/>
  <c r="AA5" i="7"/>
  <c r="AC5" i="7"/>
  <c r="AD5" i="7"/>
  <c r="AF5" i="7"/>
  <c r="AG5" i="7"/>
  <c r="AI5" i="7"/>
  <c r="AJ5" i="7"/>
  <c r="AL5" i="7"/>
  <c r="AM5" i="7"/>
  <c r="AO5" i="7"/>
  <c r="AP5" i="7"/>
  <c r="AR5" i="7"/>
  <c r="AS5" i="7"/>
  <c r="AU5" i="7"/>
  <c r="AV5" i="7"/>
  <c r="B6" i="7"/>
  <c r="C6" i="7"/>
  <c r="D6" i="7" s="1"/>
  <c r="E6" i="7"/>
  <c r="F6" i="7"/>
  <c r="H6" i="7"/>
  <c r="I6" i="7"/>
  <c r="K6" i="7"/>
  <c r="L6" i="7"/>
  <c r="N6" i="7"/>
  <c r="O6" i="7"/>
  <c r="Q6" i="7"/>
  <c r="R6" i="7"/>
  <c r="T6" i="7"/>
  <c r="U6" i="7"/>
  <c r="W6" i="7"/>
  <c r="X6" i="7"/>
  <c r="Z6" i="7"/>
  <c r="AA6" i="7"/>
  <c r="AC6" i="7"/>
  <c r="AD6" i="7"/>
  <c r="AF6" i="7"/>
  <c r="AG6" i="7"/>
  <c r="AI6" i="7"/>
  <c r="AJ6" i="7"/>
  <c r="AL6" i="7"/>
  <c r="AM6" i="7"/>
  <c r="AO6" i="7"/>
  <c r="AP6" i="7"/>
  <c r="AR6" i="7"/>
  <c r="AS6" i="7"/>
  <c r="AU6" i="7"/>
  <c r="AV6" i="7"/>
  <c r="B7" i="7"/>
  <c r="C7" i="7"/>
  <c r="D7" i="7" s="1"/>
  <c r="G7" i="7" s="1"/>
  <c r="E7" i="7"/>
  <c r="F7" i="7"/>
  <c r="H7" i="7"/>
  <c r="I7" i="7"/>
  <c r="K7" i="7"/>
  <c r="L7" i="7"/>
  <c r="N7" i="7"/>
  <c r="O7" i="7"/>
  <c r="Q7" i="7"/>
  <c r="R7" i="7"/>
  <c r="T7" i="7"/>
  <c r="U7" i="7"/>
  <c r="W7" i="7"/>
  <c r="X7" i="7"/>
  <c r="Z7" i="7"/>
  <c r="AA7" i="7"/>
  <c r="AC7" i="7"/>
  <c r="AD7" i="7"/>
  <c r="AF7" i="7"/>
  <c r="AG7" i="7"/>
  <c r="AI7" i="7"/>
  <c r="AJ7" i="7"/>
  <c r="AL7" i="7"/>
  <c r="AM7" i="7"/>
  <c r="AO7" i="7"/>
  <c r="AP7" i="7"/>
  <c r="AR7" i="7"/>
  <c r="AS7" i="7"/>
  <c r="AU7" i="7"/>
  <c r="AV7" i="7"/>
  <c r="B8" i="7"/>
  <c r="C8" i="7"/>
  <c r="D8" i="7" s="1"/>
  <c r="E8" i="7"/>
  <c r="F8" i="7"/>
  <c r="H8" i="7"/>
  <c r="I8" i="7"/>
  <c r="K8" i="7"/>
  <c r="L8" i="7"/>
  <c r="N8" i="7"/>
  <c r="O8" i="7"/>
  <c r="Q8" i="7"/>
  <c r="R8" i="7"/>
  <c r="T8" i="7"/>
  <c r="U8" i="7"/>
  <c r="W8" i="7"/>
  <c r="X8" i="7"/>
  <c r="Z8" i="7"/>
  <c r="AA8" i="7"/>
  <c r="AC8" i="7"/>
  <c r="AD8" i="7"/>
  <c r="AF8" i="7"/>
  <c r="AG8" i="7"/>
  <c r="AI8" i="7"/>
  <c r="AJ8" i="7"/>
  <c r="AL8" i="7"/>
  <c r="AM8" i="7"/>
  <c r="AO8" i="7"/>
  <c r="AP8" i="7"/>
  <c r="AR8" i="7"/>
  <c r="AS8" i="7"/>
  <c r="AU8" i="7"/>
  <c r="AV8" i="7"/>
  <c r="B9" i="7"/>
  <c r="C9" i="7"/>
  <c r="D9" i="7" s="1"/>
  <c r="E9" i="7"/>
  <c r="F9" i="7"/>
  <c r="H9" i="7"/>
  <c r="I9" i="7"/>
  <c r="K9" i="7"/>
  <c r="L9" i="7"/>
  <c r="N9" i="7"/>
  <c r="O9" i="7"/>
  <c r="Q9" i="7"/>
  <c r="R9" i="7"/>
  <c r="T9" i="7"/>
  <c r="U9" i="7"/>
  <c r="W9" i="7"/>
  <c r="X9" i="7"/>
  <c r="Z9" i="7"/>
  <c r="AA9" i="7"/>
  <c r="AC9" i="7"/>
  <c r="AD9" i="7"/>
  <c r="AF9" i="7"/>
  <c r="AG9" i="7"/>
  <c r="AI9" i="7"/>
  <c r="AJ9" i="7"/>
  <c r="AL9" i="7"/>
  <c r="AM9" i="7"/>
  <c r="AO9" i="7"/>
  <c r="AP9" i="7"/>
  <c r="AR9" i="7"/>
  <c r="AS9" i="7"/>
  <c r="AU9" i="7"/>
  <c r="AV9" i="7"/>
  <c r="B10" i="7"/>
  <c r="C10" i="7"/>
  <c r="D10" i="7"/>
  <c r="E10" i="7"/>
  <c r="F10" i="7"/>
  <c r="H10" i="7"/>
  <c r="I10" i="7"/>
  <c r="K10" i="7"/>
  <c r="L10" i="7"/>
  <c r="N10" i="7"/>
  <c r="O10" i="7"/>
  <c r="Q10" i="7"/>
  <c r="R10" i="7"/>
  <c r="T10" i="7"/>
  <c r="U10" i="7"/>
  <c r="W10" i="7"/>
  <c r="X10" i="7"/>
  <c r="Z10" i="7"/>
  <c r="AA10" i="7"/>
  <c r="AC10" i="7"/>
  <c r="AD10" i="7"/>
  <c r="AF10" i="7"/>
  <c r="AG10" i="7"/>
  <c r="AI10" i="7"/>
  <c r="AJ10" i="7"/>
  <c r="AL10" i="7"/>
  <c r="AM10" i="7"/>
  <c r="AO10" i="7"/>
  <c r="AP10" i="7"/>
  <c r="AR10" i="7"/>
  <c r="AS10" i="7"/>
  <c r="AU10" i="7"/>
  <c r="AV10" i="7"/>
  <c r="B11" i="7"/>
  <c r="C11" i="7"/>
  <c r="D11" i="7" s="1"/>
  <c r="E11" i="7"/>
  <c r="F11" i="7"/>
  <c r="H11" i="7"/>
  <c r="I11" i="7"/>
  <c r="K11" i="7"/>
  <c r="L11" i="7"/>
  <c r="N11" i="7"/>
  <c r="O11" i="7"/>
  <c r="Q11" i="7"/>
  <c r="R11" i="7"/>
  <c r="T11" i="7"/>
  <c r="U11" i="7"/>
  <c r="W11" i="7"/>
  <c r="X11" i="7"/>
  <c r="Z11" i="7"/>
  <c r="AA11" i="7"/>
  <c r="AC11" i="7"/>
  <c r="AD11" i="7"/>
  <c r="AF11" i="7"/>
  <c r="AG11" i="7"/>
  <c r="AI11" i="7"/>
  <c r="AJ11" i="7"/>
  <c r="AL11" i="7"/>
  <c r="AM11" i="7"/>
  <c r="AO11" i="7"/>
  <c r="AP11" i="7"/>
  <c r="AR11" i="7"/>
  <c r="AS11" i="7"/>
  <c r="AU11" i="7"/>
  <c r="AV11" i="7"/>
  <c r="B12" i="7"/>
  <c r="C12" i="7"/>
  <c r="D12" i="7" s="1"/>
  <c r="E12" i="7"/>
  <c r="F12" i="7"/>
  <c r="H12" i="7"/>
  <c r="I12" i="7"/>
  <c r="K12" i="7"/>
  <c r="L12" i="7"/>
  <c r="N12" i="7"/>
  <c r="O12" i="7"/>
  <c r="Q12" i="7"/>
  <c r="R12" i="7"/>
  <c r="T12" i="7"/>
  <c r="U12" i="7"/>
  <c r="W12" i="7"/>
  <c r="X12" i="7"/>
  <c r="Z12" i="7"/>
  <c r="AA12" i="7"/>
  <c r="AC12" i="7"/>
  <c r="AD12" i="7"/>
  <c r="AF12" i="7"/>
  <c r="AG12" i="7"/>
  <c r="AI12" i="7"/>
  <c r="AJ12" i="7"/>
  <c r="AL12" i="7"/>
  <c r="AM12" i="7"/>
  <c r="AO12" i="7"/>
  <c r="AP12" i="7"/>
  <c r="AR12" i="7"/>
  <c r="AS12" i="7"/>
  <c r="AU12" i="7"/>
  <c r="AV12" i="7"/>
  <c r="A5" i="7"/>
  <c r="A6" i="7"/>
  <c r="A7" i="7"/>
  <c r="A8" i="7"/>
  <c r="A9" i="7"/>
  <c r="A10" i="7"/>
  <c r="A11" i="7"/>
  <c r="A12" i="7"/>
  <c r="AS17" i="2"/>
  <c r="AT17" i="2"/>
  <c r="AS18" i="2"/>
  <c r="AT18" i="2"/>
  <c r="AS19" i="2"/>
  <c r="AT19" i="2"/>
  <c r="AS20" i="2"/>
  <c r="AT20" i="2"/>
  <c r="AS21" i="2"/>
  <c r="AT21" i="2"/>
  <c r="AS22" i="2"/>
  <c r="AT22" i="2"/>
  <c r="AS23" i="2"/>
  <c r="AT23" i="2"/>
  <c r="AS24" i="2"/>
  <c r="AT24" i="2"/>
  <c r="AN17" i="2"/>
  <c r="AO17" i="2"/>
  <c r="AN18" i="2"/>
  <c r="AO18" i="2"/>
  <c r="AN19" i="2"/>
  <c r="AO19" i="2"/>
  <c r="AN20" i="2"/>
  <c r="AO20" i="2"/>
  <c r="AN21" i="2"/>
  <c r="AO21" i="2"/>
  <c r="AN22" i="2"/>
  <c r="AO22" i="2"/>
  <c r="AN23" i="2"/>
  <c r="AO23" i="2"/>
  <c r="AN24" i="2"/>
  <c r="AO24" i="2"/>
  <c r="AI17" i="2"/>
  <c r="AJ17" i="2"/>
  <c r="AI18" i="2"/>
  <c r="AJ18" i="2"/>
  <c r="AI19" i="2"/>
  <c r="AJ19" i="2"/>
  <c r="AI20" i="2"/>
  <c r="AJ20" i="2"/>
  <c r="AI21" i="2"/>
  <c r="AJ21" i="2"/>
  <c r="AI22" i="2"/>
  <c r="AJ22" i="2"/>
  <c r="AI23" i="2"/>
  <c r="AJ23" i="2"/>
  <c r="AD17" i="2"/>
  <c r="AE17" i="2"/>
  <c r="AD18" i="2"/>
  <c r="AE18" i="2"/>
  <c r="AD19" i="2"/>
  <c r="AE19" i="2"/>
  <c r="AD20" i="2"/>
  <c r="AE20" i="2"/>
  <c r="AD21" i="2"/>
  <c r="AE21" i="2"/>
  <c r="AD22" i="2"/>
  <c r="AE22" i="2"/>
  <c r="AD23" i="2"/>
  <c r="AE23" i="2"/>
  <c r="AD24" i="2"/>
  <c r="AE24" i="2"/>
  <c r="Y17" i="2"/>
  <c r="Z17" i="2"/>
  <c r="Y18" i="2"/>
  <c r="Z18" i="2"/>
  <c r="Y19" i="2"/>
  <c r="Z19" i="2"/>
  <c r="Y20" i="2"/>
  <c r="Z20" i="2"/>
  <c r="Y21" i="2"/>
  <c r="Z21" i="2"/>
  <c r="Y22" i="2"/>
  <c r="Z22" i="2"/>
  <c r="Y23" i="2"/>
  <c r="Z23" i="2"/>
  <c r="Y24" i="2"/>
  <c r="Z24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E17" i="2"/>
  <c r="E18" i="2"/>
  <c r="E19" i="2"/>
  <c r="E20" i="2"/>
  <c r="E21" i="2"/>
  <c r="E22" i="2"/>
  <c r="E23" i="2"/>
  <c r="E24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AS5" i="2"/>
  <c r="AT5" i="2"/>
  <c r="AS6" i="2"/>
  <c r="AT6" i="2"/>
  <c r="AS7" i="2"/>
  <c r="AT7" i="2"/>
  <c r="AS8" i="2"/>
  <c r="AT8" i="2"/>
  <c r="AS9" i="2"/>
  <c r="AT9" i="2"/>
  <c r="AS10" i="2"/>
  <c r="AT10" i="2"/>
  <c r="AS11" i="2"/>
  <c r="AT11" i="2"/>
  <c r="AS12" i="2"/>
  <c r="AT12" i="2"/>
  <c r="AN5" i="2"/>
  <c r="AO5" i="2"/>
  <c r="AN6" i="2"/>
  <c r="AO6" i="2"/>
  <c r="AN7" i="2"/>
  <c r="AO7" i="2"/>
  <c r="AN8" i="2"/>
  <c r="AO8" i="2"/>
  <c r="AN9" i="2"/>
  <c r="AO9" i="2"/>
  <c r="AN10" i="2"/>
  <c r="AO10" i="2"/>
  <c r="AN11" i="2"/>
  <c r="AO11" i="2"/>
  <c r="AN12" i="2"/>
  <c r="AO12" i="2"/>
  <c r="AI5" i="2"/>
  <c r="AJ5" i="2"/>
  <c r="AI6" i="2"/>
  <c r="AJ6" i="2"/>
  <c r="AI7" i="2"/>
  <c r="AJ7" i="2"/>
  <c r="AI8" i="2"/>
  <c r="AJ8" i="2"/>
  <c r="AI9" i="2"/>
  <c r="AJ9" i="2"/>
  <c r="AI10" i="2"/>
  <c r="AJ10" i="2"/>
  <c r="AI11" i="2"/>
  <c r="AJ11" i="2"/>
  <c r="AI12" i="2"/>
  <c r="AJ12" i="2"/>
  <c r="AD5" i="2"/>
  <c r="AE5" i="2"/>
  <c r="AD6" i="2"/>
  <c r="AE6" i="2"/>
  <c r="AD7" i="2"/>
  <c r="AE7" i="2"/>
  <c r="AD8" i="2"/>
  <c r="AE8" i="2"/>
  <c r="AE9" i="2"/>
  <c r="AE10" i="2"/>
  <c r="AD11" i="2"/>
  <c r="AE11" i="2"/>
  <c r="AD12" i="2"/>
  <c r="AE12" i="2"/>
  <c r="Y5" i="2"/>
  <c r="Y6" i="2"/>
  <c r="Y7" i="2"/>
  <c r="Y8" i="2"/>
  <c r="Y9" i="2"/>
  <c r="Y10" i="2"/>
  <c r="Y11" i="2"/>
  <c r="Y12" i="2"/>
  <c r="T5" i="2"/>
  <c r="T6" i="2"/>
  <c r="T7" i="2"/>
  <c r="T8" i="2"/>
  <c r="T9" i="2"/>
  <c r="T10" i="2"/>
  <c r="T11" i="2"/>
  <c r="T12" i="2"/>
  <c r="O5" i="2"/>
  <c r="O6" i="2"/>
  <c r="O7" i="2"/>
  <c r="O8" i="2"/>
  <c r="O9" i="2"/>
  <c r="O10" i="2"/>
  <c r="O11" i="2"/>
  <c r="O12" i="2"/>
  <c r="J5" i="2"/>
  <c r="J6" i="2"/>
  <c r="J7" i="2"/>
  <c r="J8" i="2"/>
  <c r="J9" i="2"/>
  <c r="J10" i="2"/>
  <c r="J11" i="2"/>
  <c r="J12" i="2"/>
  <c r="E5" i="2"/>
  <c r="E6" i="2"/>
  <c r="E7" i="2"/>
  <c r="E8" i="2"/>
  <c r="E9" i="2"/>
  <c r="E10" i="2"/>
  <c r="E11" i="2"/>
  <c r="E12" i="2"/>
  <c r="A17" i="2"/>
  <c r="A18" i="2"/>
  <c r="A20" i="2"/>
  <c r="A21" i="2"/>
  <c r="A22" i="2"/>
  <c r="A23" i="2"/>
  <c r="A24" i="2"/>
  <c r="A5" i="2"/>
  <c r="A6" i="2"/>
  <c r="A7" i="2"/>
  <c r="A19" i="2" s="1"/>
  <c r="A8" i="2"/>
  <c r="A9" i="2"/>
  <c r="A10" i="2"/>
  <c r="A11" i="2"/>
  <c r="A12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B32" i="2"/>
  <c r="B33" i="2"/>
  <c r="B34" i="2"/>
  <c r="B35" i="2"/>
  <c r="B36" i="2"/>
  <c r="B37" i="2"/>
  <c r="K6" i="3"/>
  <c r="K7" i="3"/>
  <c r="K8" i="3"/>
  <c r="J6" i="3"/>
  <c r="J7" i="3"/>
  <c r="J8" i="3"/>
  <c r="H6" i="3"/>
  <c r="H7" i="3"/>
  <c r="H8" i="3"/>
  <c r="F6" i="3"/>
  <c r="F7" i="3"/>
  <c r="F8" i="3"/>
  <c r="D6" i="3"/>
  <c r="D7" i="3"/>
  <c r="D8" i="3"/>
  <c r="K4" i="2" l="1"/>
  <c r="K8" i="2"/>
  <c r="K12" i="2"/>
  <c r="P10" i="2"/>
  <c r="P6" i="2"/>
  <c r="U11" i="2"/>
  <c r="U7" i="2"/>
  <c r="Z12" i="2"/>
  <c r="Z8" i="2"/>
  <c r="K5" i="2"/>
  <c r="K9" i="2"/>
  <c r="P4" i="2"/>
  <c r="P9" i="2"/>
  <c r="P5" i="2"/>
  <c r="U10" i="2"/>
  <c r="U6" i="2"/>
  <c r="Z11" i="2"/>
  <c r="Z7" i="2"/>
  <c r="K6" i="2"/>
  <c r="K10" i="2"/>
  <c r="P12" i="2"/>
  <c r="P8" i="2"/>
  <c r="U4" i="2"/>
  <c r="U9" i="2"/>
  <c r="U5" i="2"/>
  <c r="Z10" i="2"/>
  <c r="Z6" i="2"/>
  <c r="K7" i="2"/>
  <c r="K11" i="2"/>
  <c r="P11" i="2"/>
  <c r="P7" i="2"/>
  <c r="U12" i="2"/>
  <c r="U8" i="2"/>
  <c r="Z4" i="2"/>
  <c r="Z9" i="2"/>
  <c r="G12" i="7"/>
  <c r="J12" i="7" s="1"/>
  <c r="M12" i="7" s="1"/>
  <c r="P12" i="7" s="1"/>
  <c r="S12" i="7" s="1"/>
  <c r="V12" i="7" s="1"/>
  <c r="Y12" i="7" s="1"/>
  <c r="AB12" i="7" s="1"/>
  <c r="AE12" i="7" s="1"/>
  <c r="AH12" i="7" s="1"/>
  <c r="AK12" i="7" s="1"/>
  <c r="AN12" i="7" s="1"/>
  <c r="AQ12" i="7" s="1"/>
  <c r="AT12" i="7" s="1"/>
  <c r="AW12" i="7" s="1"/>
  <c r="C23" i="7"/>
  <c r="C22" i="7"/>
  <c r="D23" i="7"/>
  <c r="J5" i="7"/>
  <c r="M5" i="7" s="1"/>
  <c r="P5" i="7" s="1"/>
  <c r="S5" i="7" s="1"/>
  <c r="V5" i="7" s="1"/>
  <c r="Y5" i="7" s="1"/>
  <c r="AB5" i="7" s="1"/>
  <c r="AE5" i="7" s="1"/>
  <c r="AH5" i="7" s="1"/>
  <c r="AK5" i="7" s="1"/>
  <c r="AN5" i="7" s="1"/>
  <c r="AQ5" i="7" s="1"/>
  <c r="AT5" i="7" s="1"/>
  <c r="AW5" i="7" s="1"/>
  <c r="G9" i="7"/>
  <c r="J9" i="7" s="1"/>
  <c r="M9" i="7" s="1"/>
  <c r="P9" i="7" s="1"/>
  <c r="S9" i="7" s="1"/>
  <c r="V9" i="7" s="1"/>
  <c r="Y9" i="7" s="1"/>
  <c r="AB9" i="7" s="1"/>
  <c r="AE9" i="7" s="1"/>
  <c r="AH9" i="7" s="1"/>
  <c r="AK9" i="7" s="1"/>
  <c r="AN9" i="7" s="1"/>
  <c r="AQ9" i="7" s="1"/>
  <c r="AT9" i="7" s="1"/>
  <c r="AW9" i="7" s="1"/>
  <c r="G8" i="7"/>
  <c r="J8" i="7" s="1"/>
  <c r="M8" i="7" s="1"/>
  <c r="P8" i="7" s="1"/>
  <c r="S8" i="7" s="1"/>
  <c r="V8" i="7" s="1"/>
  <c r="Y8" i="7" s="1"/>
  <c r="AB8" i="7" s="1"/>
  <c r="AE8" i="7" s="1"/>
  <c r="AH8" i="7" s="1"/>
  <c r="AK8" i="7" s="1"/>
  <c r="AN8" i="7" s="1"/>
  <c r="AQ8" i="7" s="1"/>
  <c r="AT8" i="7" s="1"/>
  <c r="AW8" i="7" s="1"/>
  <c r="G10" i="7"/>
  <c r="G6" i="7"/>
  <c r="J6" i="7" s="1"/>
  <c r="M6" i="7" s="1"/>
  <c r="P6" i="7" s="1"/>
  <c r="S6" i="7" s="1"/>
  <c r="V6" i="7" s="1"/>
  <c r="Y6" i="7" s="1"/>
  <c r="AB6" i="7" s="1"/>
  <c r="AE6" i="7" s="1"/>
  <c r="AH6" i="7" s="1"/>
  <c r="AK6" i="7" s="1"/>
  <c r="AN6" i="7" s="1"/>
  <c r="AQ6" i="7" s="1"/>
  <c r="AT6" i="7" s="1"/>
  <c r="AW6" i="7" s="1"/>
  <c r="G11" i="7"/>
  <c r="J11" i="7" s="1"/>
  <c r="M11" i="7" s="1"/>
  <c r="P11" i="7" s="1"/>
  <c r="S11" i="7" s="1"/>
  <c r="V11" i="7" s="1"/>
  <c r="Y11" i="7" s="1"/>
  <c r="AB11" i="7" s="1"/>
  <c r="AE11" i="7" s="1"/>
  <c r="AH11" i="7" s="1"/>
  <c r="AK11" i="7" s="1"/>
  <c r="AN11" i="7" s="1"/>
  <c r="AQ11" i="7" s="1"/>
  <c r="AT11" i="7" s="1"/>
  <c r="AW11" i="7" s="1"/>
  <c r="J7" i="7"/>
  <c r="M7" i="7" s="1"/>
  <c r="P7" i="7" s="1"/>
  <c r="S7" i="7" s="1"/>
  <c r="V7" i="7" s="1"/>
  <c r="Y7" i="7" s="1"/>
  <c r="AB7" i="7" s="1"/>
  <c r="AE7" i="7" s="1"/>
  <c r="AH7" i="7" s="1"/>
  <c r="AK7" i="7" s="1"/>
  <c r="AN7" i="7" s="1"/>
  <c r="AQ7" i="7" s="1"/>
  <c r="AT7" i="7" s="1"/>
  <c r="AW7" i="7" s="1"/>
  <c r="B9" i="2"/>
  <c r="F22" i="2"/>
  <c r="F19" i="2"/>
  <c r="B6" i="2"/>
  <c r="B7" i="2"/>
  <c r="B8" i="2"/>
  <c r="D3" i="3"/>
  <c r="B3" i="1" s="1"/>
  <c r="AT16" i="2"/>
  <c r="AO16" i="2"/>
  <c r="AJ24" i="2"/>
  <c r="AJ16" i="2"/>
  <c r="AE16" i="2"/>
  <c r="E2" i="10"/>
  <c r="A81" i="10" s="1"/>
  <c r="C81" i="10" s="1"/>
  <c r="J11" i="3"/>
  <c r="J10" i="3"/>
  <c r="J9" i="3"/>
  <c r="J5" i="3"/>
  <c r="J4" i="3"/>
  <c r="J3" i="3"/>
  <c r="B39" i="1" s="1"/>
  <c r="H11" i="3"/>
  <c r="H10" i="3"/>
  <c r="H9" i="3"/>
  <c r="H5" i="3"/>
  <c r="H4" i="3"/>
  <c r="H3" i="3"/>
  <c r="F11" i="3"/>
  <c r="F10" i="3"/>
  <c r="F9" i="3"/>
  <c r="F5" i="3"/>
  <c r="F4" i="3"/>
  <c r="F3" i="3"/>
  <c r="D11" i="3"/>
  <c r="D10" i="3"/>
  <c r="D9" i="3"/>
  <c r="D5" i="3"/>
  <c r="D4" i="3"/>
  <c r="S2" i="2"/>
  <c r="G2" i="10"/>
  <c r="H58" i="2"/>
  <c r="K16" i="2"/>
  <c r="P16" i="2"/>
  <c r="U16" i="2"/>
  <c r="Z16" i="2"/>
  <c r="AE4" i="2"/>
  <c r="AJ4" i="2"/>
  <c r="AO4" i="2"/>
  <c r="AT4" i="2"/>
  <c r="E16" i="2"/>
  <c r="F17" i="2" s="1"/>
  <c r="B5" i="2"/>
  <c r="B10" i="2"/>
  <c r="B11" i="2"/>
  <c r="B12" i="2"/>
  <c r="E4" i="2"/>
  <c r="F7" i="2" s="1"/>
  <c r="A4" i="2"/>
  <c r="A16" i="2" s="1"/>
  <c r="O16" i="2"/>
  <c r="AI24" i="2"/>
  <c r="AN16" i="2"/>
  <c r="AD16" i="2"/>
  <c r="AD4" i="2"/>
  <c r="J16" i="2"/>
  <c r="O4" i="2"/>
  <c r="AS16" i="2"/>
  <c r="AS4" i="2"/>
  <c r="AN4" i="2"/>
  <c r="N2" i="2"/>
  <c r="AI16" i="2"/>
  <c r="AI4" i="2"/>
  <c r="J4" i="2"/>
  <c r="Y16" i="2"/>
  <c r="T16" i="2"/>
  <c r="K11" i="3"/>
  <c r="K10" i="3"/>
  <c r="K4" i="3"/>
  <c r="K5" i="3"/>
  <c r="K9" i="3"/>
  <c r="K3" i="3"/>
  <c r="C4" i="7"/>
  <c r="D4" i="7" s="1"/>
  <c r="F4" i="7"/>
  <c r="I4" i="7"/>
  <c r="L4" i="7"/>
  <c r="O4" i="7"/>
  <c r="R4" i="7"/>
  <c r="U4" i="7"/>
  <c r="X4" i="7"/>
  <c r="AA4" i="7"/>
  <c r="AD4" i="7"/>
  <c r="AG4" i="7"/>
  <c r="AJ4" i="7"/>
  <c r="AM4" i="7"/>
  <c r="AP4" i="7"/>
  <c r="AS4" i="7"/>
  <c r="AV4" i="7"/>
  <c r="A4" i="7"/>
  <c r="AY15" i="7" s="1"/>
  <c r="AC4" i="7"/>
  <c r="Z4" i="7"/>
  <c r="E4" i="7"/>
  <c r="B4" i="7"/>
  <c r="AU4" i="7"/>
  <c r="AR4" i="7"/>
  <c r="AO4" i="7"/>
  <c r="AL4" i="7"/>
  <c r="AI4" i="7"/>
  <c r="AF4" i="7"/>
  <c r="W4" i="7"/>
  <c r="T4" i="7"/>
  <c r="Q4" i="7"/>
  <c r="N4" i="7"/>
  <c r="K4" i="7"/>
  <c r="H4" i="7"/>
  <c r="B30" i="2"/>
  <c r="Y4" i="2"/>
  <c r="F21" i="2" l="1"/>
  <c r="F20" i="2"/>
  <c r="F23" i="2"/>
  <c r="F24" i="2"/>
  <c r="F18" i="2"/>
  <c r="F5" i="2"/>
  <c r="D22" i="7"/>
  <c r="D16" i="7"/>
  <c r="D18" i="7"/>
  <c r="AZ18" i="7" s="1"/>
  <c r="D20" i="7"/>
  <c r="F6" i="2"/>
  <c r="F9" i="2"/>
  <c r="F12" i="2"/>
  <c r="D19" i="7"/>
  <c r="C18" i="7"/>
  <c r="C19" i="7"/>
  <c r="F10" i="2"/>
  <c r="F11" i="2"/>
  <c r="F8" i="2"/>
  <c r="D21" i="7"/>
  <c r="C20" i="7"/>
  <c r="C21" i="7"/>
  <c r="C16" i="7"/>
  <c r="C17" i="7"/>
  <c r="D17" i="7"/>
  <c r="J10" i="7"/>
  <c r="G21" i="7"/>
  <c r="A44" i="10"/>
  <c r="C44" i="10" s="1"/>
  <c r="A60" i="10"/>
  <c r="C60" i="10" s="1"/>
  <c r="A59" i="10"/>
  <c r="C59" i="10" s="1"/>
  <c r="A12" i="10"/>
  <c r="C12" i="10" s="1"/>
  <c r="A11" i="10"/>
  <c r="C11" i="10" s="1"/>
  <c r="A57" i="10"/>
  <c r="C57" i="10" s="1"/>
  <c r="A28" i="10"/>
  <c r="C28" i="10" s="1"/>
  <c r="A27" i="10"/>
  <c r="C27" i="10" s="1"/>
  <c r="A121" i="10"/>
  <c r="C121" i="10" s="1"/>
  <c r="A43" i="10"/>
  <c r="C43" i="10" s="1"/>
  <c r="A17" i="10"/>
  <c r="C17" i="10" s="1"/>
  <c r="A2" i="10"/>
  <c r="A3" i="10"/>
  <c r="C3" i="10" s="1"/>
  <c r="A24" i="10"/>
  <c r="C24" i="10" s="1"/>
  <c r="A40" i="10"/>
  <c r="C40" i="10" s="1"/>
  <c r="A56" i="10"/>
  <c r="C56" i="10" s="1"/>
  <c r="A7" i="10"/>
  <c r="C7" i="10" s="1"/>
  <c r="A23" i="10"/>
  <c r="C23" i="10" s="1"/>
  <c r="A39" i="10"/>
  <c r="C39" i="10" s="1"/>
  <c r="A55" i="10"/>
  <c r="C55" i="10" s="1"/>
  <c r="A41" i="10"/>
  <c r="C41" i="10" s="1"/>
  <c r="A105" i="10"/>
  <c r="C105" i="10" s="1"/>
  <c r="A75" i="10"/>
  <c r="C75" i="10" s="1"/>
  <c r="A139" i="10"/>
  <c r="C139" i="10" s="1"/>
  <c r="A65" i="10"/>
  <c r="C65" i="10" s="1"/>
  <c r="A129" i="10"/>
  <c r="C129" i="10" s="1"/>
  <c r="A99" i="10"/>
  <c r="C99" i="10" s="1"/>
  <c r="A93" i="10"/>
  <c r="C93" i="10" s="1"/>
  <c r="A66" i="10"/>
  <c r="C66" i="10" s="1"/>
  <c r="A108" i="10"/>
  <c r="C108" i="10" s="1"/>
  <c r="A100" i="10"/>
  <c r="C100" i="10" s="1"/>
  <c r="A34" i="10"/>
  <c r="C34" i="10" s="1"/>
  <c r="A70" i="10"/>
  <c r="C70" i="10" s="1"/>
  <c r="A102" i="10"/>
  <c r="C102" i="10" s="1"/>
  <c r="A134" i="10"/>
  <c r="C134" i="10" s="1"/>
  <c r="A69" i="10"/>
  <c r="C69" i="10" s="1"/>
  <c r="A46" i="10"/>
  <c r="C46" i="10" s="1"/>
  <c r="A111" i="10"/>
  <c r="C111" i="10" s="1"/>
  <c r="A64" i="10"/>
  <c r="C64" i="10" s="1"/>
  <c r="A96" i="10"/>
  <c r="C96" i="10" s="1"/>
  <c r="A128" i="10"/>
  <c r="C128" i="10" s="1"/>
  <c r="A53" i="10"/>
  <c r="C53" i="10" s="1"/>
  <c r="A62" i="10"/>
  <c r="C62" i="10" s="1"/>
  <c r="A106" i="10"/>
  <c r="C106" i="10" s="1"/>
  <c r="A29" i="10"/>
  <c r="C29" i="10" s="1"/>
  <c r="A114" i="10"/>
  <c r="C114" i="10" s="1"/>
  <c r="A92" i="10"/>
  <c r="C92" i="10" s="1"/>
  <c r="A103" i="10"/>
  <c r="C103" i="10" s="1"/>
  <c r="A91" i="10"/>
  <c r="C91" i="10" s="1"/>
  <c r="A145" i="10"/>
  <c r="C145" i="10" s="1"/>
  <c r="A115" i="10"/>
  <c r="C115" i="10" s="1"/>
  <c r="A125" i="10"/>
  <c r="C125" i="10" s="1"/>
  <c r="A76" i="10"/>
  <c r="C76" i="10" s="1"/>
  <c r="A119" i="10"/>
  <c r="C119" i="10" s="1"/>
  <c r="A10" i="10"/>
  <c r="C10" i="10" s="1"/>
  <c r="A42" i="10"/>
  <c r="C42" i="10" s="1"/>
  <c r="A78" i="10"/>
  <c r="C78" i="10" s="1"/>
  <c r="A110" i="10"/>
  <c r="C110" i="10" s="1"/>
  <c r="A142" i="10"/>
  <c r="C142" i="10" s="1"/>
  <c r="A101" i="10"/>
  <c r="C101" i="10" s="1"/>
  <c r="A68" i="10"/>
  <c r="C68" i="10" s="1"/>
  <c r="A122" i="10"/>
  <c r="C122" i="10" s="1"/>
  <c r="A72" i="10"/>
  <c r="C72" i="10" s="1"/>
  <c r="A104" i="10"/>
  <c r="C104" i="10" s="1"/>
  <c r="A136" i="10"/>
  <c r="C136" i="10" s="1"/>
  <c r="A85" i="10"/>
  <c r="C85" i="10" s="1"/>
  <c r="A74" i="10"/>
  <c r="C74" i="10" s="1"/>
  <c r="A116" i="10"/>
  <c r="C116" i="10" s="1"/>
  <c r="A13" i="10"/>
  <c r="C13" i="10" s="1"/>
  <c r="A124" i="10"/>
  <c r="C124" i="10" s="1"/>
  <c r="A135" i="10"/>
  <c r="C135" i="10" s="1"/>
  <c r="A45" i="10"/>
  <c r="C45" i="10" s="1"/>
  <c r="A16" i="10"/>
  <c r="C16" i="10" s="1"/>
  <c r="A32" i="10"/>
  <c r="C32" i="10" s="1"/>
  <c r="A48" i="10"/>
  <c r="C48" i="10" s="1"/>
  <c r="A5" i="10"/>
  <c r="C5" i="10" s="1"/>
  <c r="A15" i="10"/>
  <c r="C15" i="10" s="1"/>
  <c r="A31" i="10"/>
  <c r="C31" i="10" s="1"/>
  <c r="A47" i="10"/>
  <c r="C47" i="10" s="1"/>
  <c r="A63" i="10"/>
  <c r="C63" i="10" s="1"/>
  <c r="A73" i="10"/>
  <c r="C73" i="10" s="1"/>
  <c r="A137" i="10"/>
  <c r="C137" i="10" s="1"/>
  <c r="A107" i="10"/>
  <c r="C107" i="10" s="1"/>
  <c r="A33" i="10"/>
  <c r="C33" i="10" s="1"/>
  <c r="A97" i="10"/>
  <c r="C97" i="10" s="1"/>
  <c r="A67" i="10"/>
  <c r="C67" i="10" s="1"/>
  <c r="A131" i="10"/>
  <c r="C131" i="10" s="1"/>
  <c r="A6" i="10"/>
  <c r="C6" i="10" s="1"/>
  <c r="A87" i="10"/>
  <c r="C87" i="10" s="1"/>
  <c r="A130" i="10"/>
  <c r="C130" i="10" s="1"/>
  <c r="A18" i="10"/>
  <c r="C18" i="10" s="1"/>
  <c r="A50" i="10"/>
  <c r="C50" i="10" s="1"/>
  <c r="A86" i="10"/>
  <c r="C86" i="10" s="1"/>
  <c r="A118" i="10"/>
  <c r="C118" i="10" s="1"/>
  <c r="A8" i="10"/>
  <c r="C8" i="10" s="1"/>
  <c r="A133" i="10"/>
  <c r="C133" i="10" s="1"/>
  <c r="A79" i="10"/>
  <c r="C79" i="10" s="1"/>
  <c r="A132" i="10"/>
  <c r="C132" i="10" s="1"/>
  <c r="A80" i="10"/>
  <c r="C80" i="10" s="1"/>
  <c r="A112" i="10"/>
  <c r="C112" i="10" s="1"/>
  <c r="A144" i="10"/>
  <c r="C144" i="10" s="1"/>
  <c r="A117" i="10"/>
  <c r="C117" i="10" s="1"/>
  <c r="A84" i="10"/>
  <c r="C84" i="10" s="1"/>
  <c r="A127" i="10"/>
  <c r="C127" i="10" s="1"/>
  <c r="A141" i="10"/>
  <c r="C141" i="10" s="1"/>
  <c r="A77" i="10"/>
  <c r="C77" i="10" s="1"/>
  <c r="A82" i="10"/>
  <c r="C82" i="10" s="1"/>
  <c r="A109" i="10"/>
  <c r="C109" i="10" s="1"/>
  <c r="A20" i="10"/>
  <c r="C20" i="10" s="1"/>
  <c r="A36" i="10"/>
  <c r="C36" i="10" s="1"/>
  <c r="A52" i="10"/>
  <c r="C52" i="10" s="1"/>
  <c r="A19" i="10"/>
  <c r="C19" i="10" s="1"/>
  <c r="A35" i="10"/>
  <c r="C35" i="10" s="1"/>
  <c r="A51" i="10"/>
  <c r="C51" i="10" s="1"/>
  <c r="A25" i="10"/>
  <c r="C25" i="10" s="1"/>
  <c r="A89" i="10"/>
  <c r="C89" i="10" s="1"/>
  <c r="A4" i="10"/>
  <c r="C4" i="10" s="1"/>
  <c r="A123" i="10"/>
  <c r="C123" i="10" s="1"/>
  <c r="A49" i="10"/>
  <c r="C49" i="10" s="1"/>
  <c r="A113" i="10"/>
  <c r="C113" i="10" s="1"/>
  <c r="A83" i="10"/>
  <c r="C83" i="10" s="1"/>
  <c r="A61" i="10"/>
  <c r="C61" i="10" s="1"/>
  <c r="A38" i="10"/>
  <c r="C38" i="10" s="1"/>
  <c r="A98" i="10"/>
  <c r="C98" i="10" s="1"/>
  <c r="A140" i="10"/>
  <c r="C140" i="10" s="1"/>
  <c r="A26" i="10"/>
  <c r="C26" i="10" s="1"/>
  <c r="A58" i="10"/>
  <c r="C58" i="10" s="1"/>
  <c r="A94" i="10"/>
  <c r="C94" i="10" s="1"/>
  <c r="A126" i="10"/>
  <c r="C126" i="10" s="1"/>
  <c r="A37" i="10"/>
  <c r="C37" i="10" s="1"/>
  <c r="A14" i="10"/>
  <c r="C14" i="10" s="1"/>
  <c r="A90" i="10"/>
  <c r="C90" i="10" s="1"/>
  <c r="A143" i="10"/>
  <c r="C143" i="10" s="1"/>
  <c r="A88" i="10"/>
  <c r="C88" i="10" s="1"/>
  <c r="A120" i="10"/>
  <c r="C120" i="10" s="1"/>
  <c r="A21" i="10"/>
  <c r="C21" i="10" s="1"/>
  <c r="A30" i="10"/>
  <c r="C30" i="10" s="1"/>
  <c r="A95" i="10"/>
  <c r="C95" i="10" s="1"/>
  <c r="A138" i="10"/>
  <c r="C138" i="10" s="1"/>
  <c r="A71" i="10"/>
  <c r="C71" i="10" s="1"/>
  <c r="A22" i="10"/>
  <c r="C22" i="10" s="1"/>
  <c r="A54" i="10"/>
  <c r="C54" i="10" s="1"/>
  <c r="A9" i="10"/>
  <c r="C9" i="10" s="1"/>
  <c r="B29" i="2"/>
  <c r="B31" i="2"/>
  <c r="G4" i="7"/>
  <c r="G17" i="7" s="1"/>
  <c r="E29" i="2"/>
  <c r="T4" i="2"/>
  <c r="D15" i="7"/>
  <c r="AZ15" i="7" s="1"/>
  <c r="C15" i="7"/>
  <c r="F4" i="2"/>
  <c r="B4" i="2"/>
  <c r="C9" i="2" s="1"/>
  <c r="B27" i="1"/>
  <c r="D29" i="2"/>
  <c r="F16" i="2"/>
  <c r="B15" i="1"/>
  <c r="C29" i="2"/>
  <c r="C2" i="10"/>
  <c r="C12" i="2" l="1"/>
  <c r="C5" i="2"/>
  <c r="C10" i="2"/>
  <c r="C11" i="2"/>
  <c r="F21" i="7"/>
  <c r="C8" i="2"/>
  <c r="G20" i="7"/>
  <c r="C6" i="2"/>
  <c r="F20" i="7"/>
  <c r="C7" i="2"/>
  <c r="F23" i="7"/>
  <c r="G22" i="7"/>
  <c r="F22" i="7"/>
  <c r="G23" i="7"/>
  <c r="F19" i="7"/>
  <c r="G18" i="7"/>
  <c r="BA18" i="7" s="1"/>
  <c r="F18" i="7"/>
  <c r="G19" i="7"/>
  <c r="F17" i="7"/>
  <c r="G16" i="7"/>
  <c r="F16" i="7"/>
  <c r="M10" i="7"/>
  <c r="R17" i="1"/>
  <c r="C16" i="1"/>
  <c r="I31" i="1"/>
  <c r="S23" i="1"/>
  <c r="C44" i="1"/>
  <c r="D10" i="1"/>
  <c r="T4" i="1"/>
  <c r="C33" i="1"/>
  <c r="C31" i="1"/>
  <c r="S20" i="1"/>
  <c r="M9" i="1"/>
  <c r="E29" i="1"/>
  <c r="E5" i="1"/>
  <c r="N7" i="1"/>
  <c r="T16" i="1"/>
  <c r="J42" i="1"/>
  <c r="C43" i="1"/>
  <c r="C20" i="1"/>
  <c r="C45" i="1"/>
  <c r="E11" i="1"/>
  <c r="I6" i="1"/>
  <c r="I29" i="1"/>
  <c r="S22" i="1"/>
  <c r="R8" i="1"/>
  <c r="T20" i="1"/>
  <c r="H6" i="1"/>
  <c r="E20" i="1"/>
  <c r="D47" i="1"/>
  <c r="T32" i="1"/>
  <c r="R16" i="1"/>
  <c r="C19" i="1"/>
  <c r="C40" i="1"/>
  <c r="O47" i="1"/>
  <c r="C21" i="1"/>
  <c r="N23" i="1"/>
  <c r="M11" i="1"/>
  <c r="N17" i="1"/>
  <c r="S16" i="1"/>
  <c r="I35" i="1"/>
  <c r="S8" i="1"/>
  <c r="I28" i="1"/>
  <c r="J33" i="1"/>
  <c r="N46" i="1"/>
  <c r="O35" i="1"/>
  <c r="E8" i="1"/>
  <c r="C22" i="1"/>
  <c r="C29" i="1"/>
  <c r="E4" i="1"/>
  <c r="C42" i="1"/>
  <c r="I16" i="1"/>
  <c r="S4" i="1"/>
  <c r="U4" i="1" s="1"/>
  <c r="S10" i="1"/>
  <c r="R6" i="1"/>
  <c r="O17" i="1"/>
  <c r="D31" i="1"/>
  <c r="N35" i="1"/>
  <c r="P35" i="1" s="1"/>
  <c r="M46" i="1"/>
  <c r="T45" i="1"/>
  <c r="J7" i="1"/>
  <c r="R20" i="1"/>
  <c r="J5" i="1"/>
  <c r="H18" i="1"/>
  <c r="T9" i="1"/>
  <c r="C18" i="1"/>
  <c r="H30" i="1"/>
  <c r="I47" i="1"/>
  <c r="T8" i="1"/>
  <c r="M22" i="1"/>
  <c r="O29" i="1"/>
  <c r="I42" i="1"/>
  <c r="C28" i="1"/>
  <c r="O30" i="1"/>
  <c r="T5" i="1"/>
  <c r="H33" i="1"/>
  <c r="I40" i="1"/>
  <c r="C35" i="1"/>
  <c r="M30" i="1"/>
  <c r="O8" i="1"/>
  <c r="H22" i="1"/>
  <c r="O28" i="1"/>
  <c r="J41" i="1"/>
  <c r="T47" i="1"/>
  <c r="T43" i="1"/>
  <c r="S47" i="1"/>
  <c r="R47" i="1"/>
  <c r="E33" i="1"/>
  <c r="H32" i="1"/>
  <c r="H16" i="1"/>
  <c r="O44" i="1"/>
  <c r="O40" i="1"/>
  <c r="N44" i="1"/>
  <c r="N40" i="1"/>
  <c r="M43" i="1"/>
  <c r="T34" i="1"/>
  <c r="T30" i="1"/>
  <c r="T10" i="1"/>
  <c r="O5" i="1"/>
  <c r="S42" i="1"/>
  <c r="H41" i="1"/>
  <c r="E28" i="1"/>
  <c r="R22" i="1"/>
  <c r="J9" i="1"/>
  <c r="M20" i="1"/>
  <c r="R29" i="1"/>
  <c r="H35" i="1"/>
  <c r="J31" i="1"/>
  <c r="J35" i="1"/>
  <c r="H44" i="1"/>
  <c r="D41" i="1"/>
  <c r="D45" i="1"/>
  <c r="E41" i="1"/>
  <c r="E45" i="1"/>
  <c r="N29" i="1"/>
  <c r="N33" i="1"/>
  <c r="N16" i="1"/>
  <c r="N18" i="1"/>
  <c r="N20" i="1"/>
  <c r="N22" i="1"/>
  <c r="M4" i="1"/>
  <c r="M6" i="1"/>
  <c r="M8" i="1"/>
  <c r="M10" i="1"/>
  <c r="I30" i="1"/>
  <c r="I34" i="1"/>
  <c r="J17" i="1"/>
  <c r="J19" i="1"/>
  <c r="J21" i="1"/>
  <c r="J23" i="1"/>
  <c r="I5" i="1"/>
  <c r="K5" i="1" s="1"/>
  <c r="I7" i="1"/>
  <c r="S34" i="1"/>
  <c r="J22" i="1"/>
  <c r="D9" i="1"/>
  <c r="N30" i="1"/>
  <c r="O32" i="1"/>
  <c r="M35" i="1"/>
  <c r="J47" i="1"/>
  <c r="O11" i="1"/>
  <c r="H29" i="1"/>
  <c r="O33" i="1"/>
  <c r="I46" i="1"/>
  <c r="C32" i="1"/>
  <c r="R41" i="1"/>
  <c r="J10" i="1"/>
  <c r="O31" i="1"/>
  <c r="I44" i="1"/>
  <c r="E10" i="1"/>
  <c r="R35" i="1"/>
  <c r="J11" i="1"/>
  <c r="R28" i="1"/>
  <c r="M44" i="1"/>
  <c r="J45" i="1"/>
  <c r="T46" i="1"/>
  <c r="T42" i="1"/>
  <c r="S45" i="1"/>
  <c r="H45" i="1"/>
  <c r="E31" i="1"/>
  <c r="H28" i="1"/>
  <c r="O10" i="1"/>
  <c r="O43" i="1"/>
  <c r="N47" i="1"/>
  <c r="P47" i="1" s="1"/>
  <c r="N43" i="1"/>
  <c r="M47" i="1"/>
  <c r="H42" i="1"/>
  <c r="T33" i="1"/>
  <c r="T29" i="1"/>
  <c r="O9" i="1"/>
  <c r="J4" i="1"/>
  <c r="S40" i="1"/>
  <c r="E34" i="1"/>
  <c r="M33" i="1"/>
  <c r="H20" i="1"/>
  <c r="C34" i="1"/>
  <c r="R21" i="1"/>
  <c r="H31" i="1"/>
  <c r="J28" i="1"/>
  <c r="J32" i="1"/>
  <c r="H40" i="1"/>
  <c r="M45" i="1"/>
  <c r="D42" i="1"/>
  <c r="D46" i="1"/>
  <c r="E42" i="1"/>
  <c r="E46" i="1"/>
  <c r="D30" i="1"/>
  <c r="D34" i="1"/>
  <c r="I17" i="1"/>
  <c r="I19" i="1"/>
  <c r="I21" i="1"/>
  <c r="I23" i="1"/>
  <c r="H5" i="1"/>
  <c r="H7" i="1"/>
  <c r="H9" i="1"/>
  <c r="H11" i="1"/>
  <c r="S31" i="1"/>
  <c r="S35" i="1"/>
  <c r="T17" i="1"/>
  <c r="T19" i="1"/>
  <c r="T21" i="1"/>
  <c r="T23" i="1"/>
  <c r="S5" i="1"/>
  <c r="S7" i="1"/>
  <c r="E17" i="1"/>
  <c r="R4" i="1"/>
  <c r="H10" i="1"/>
  <c r="S32" i="1"/>
  <c r="U32" i="1" s="1"/>
  <c r="C30" i="1"/>
  <c r="H47" i="1"/>
  <c r="O6" i="1"/>
  <c r="R19" i="1"/>
  <c r="M34" i="1"/>
  <c r="R45" i="1"/>
  <c r="J46" i="1"/>
  <c r="R32" i="1"/>
  <c r="J43" i="1"/>
  <c r="R23" i="1"/>
  <c r="H43" i="1"/>
  <c r="J44" i="1"/>
  <c r="H21" i="1"/>
  <c r="J6" i="1"/>
  <c r="M19" i="1"/>
  <c r="H34" i="1"/>
  <c r="I45" i="1"/>
  <c r="C23" i="1"/>
  <c r="T44" i="1"/>
  <c r="T40" i="1"/>
  <c r="U40" i="1" s="1"/>
  <c r="S41" i="1"/>
  <c r="E35" i="1"/>
  <c r="R34" i="1"/>
  <c r="R18" i="1"/>
  <c r="O45" i="1"/>
  <c r="O41" i="1"/>
  <c r="N45" i="1"/>
  <c r="N41" i="1"/>
  <c r="R44" i="1"/>
  <c r="T35" i="1"/>
  <c r="T31" i="1"/>
  <c r="M16" i="1"/>
  <c r="T6" i="1"/>
  <c r="S44" i="1"/>
  <c r="R43" i="1"/>
  <c r="E30" i="1"/>
  <c r="M29" i="1"/>
  <c r="T11" i="1"/>
  <c r="H19" i="1"/>
  <c r="M28" i="1"/>
  <c r="R33" i="1"/>
  <c r="J30" i="1"/>
  <c r="K30" i="1" s="1"/>
  <c r="J34" i="1"/>
  <c r="K34" i="1" s="1"/>
  <c r="R42" i="1"/>
  <c r="D40" i="1"/>
  <c r="D44" i="1"/>
  <c r="E40" i="1"/>
  <c r="E44" i="1"/>
  <c r="D28" i="1"/>
  <c r="D32" i="1"/>
  <c r="D16" i="1"/>
  <c r="D18" i="1"/>
  <c r="D20" i="1"/>
  <c r="D22" i="1"/>
  <c r="C4" i="1"/>
  <c r="C6" i="1"/>
  <c r="C8" i="1"/>
  <c r="C10" i="1"/>
  <c r="S29" i="1"/>
  <c r="S33" i="1"/>
  <c r="U33" i="1" s="1"/>
  <c r="O16" i="1"/>
  <c r="O18" i="1"/>
  <c r="O20" i="1"/>
  <c r="O22" i="1"/>
  <c r="N4" i="1"/>
  <c r="N6" i="1"/>
  <c r="I33" i="1"/>
  <c r="I20" i="1"/>
  <c r="D8" i="1"/>
  <c r="S11" i="1"/>
  <c r="I18" i="1"/>
  <c r="H8" i="1"/>
  <c r="N11" i="1"/>
  <c r="P11" i="1" s="1"/>
  <c r="N28" i="1"/>
  <c r="D19" i="1"/>
  <c r="C7" i="1"/>
  <c r="D33" i="1"/>
  <c r="D17" i="1"/>
  <c r="N21" i="1"/>
  <c r="C5" i="1"/>
  <c r="C9" i="1"/>
  <c r="D11" i="1"/>
  <c r="N19" i="1"/>
  <c r="M7" i="1"/>
  <c r="D29" i="1"/>
  <c r="E9" i="1"/>
  <c r="E7" i="1"/>
  <c r="E6" i="1"/>
  <c r="C17" i="1"/>
  <c r="O46" i="1"/>
  <c r="C47" i="1"/>
  <c r="N10" i="1"/>
  <c r="J18" i="1"/>
  <c r="I10" i="1"/>
  <c r="O19" i="1"/>
  <c r="S9" i="1"/>
  <c r="O21" i="1"/>
  <c r="R10" i="1"/>
  <c r="D7" i="1"/>
  <c r="I22" i="1"/>
  <c r="J16" i="1"/>
  <c r="K16" i="1" s="1"/>
  <c r="C11" i="1"/>
  <c r="E21" i="1"/>
  <c r="I9" i="1"/>
  <c r="H4" i="1"/>
  <c r="D21" i="1"/>
  <c r="T18" i="1"/>
  <c r="E22" i="1"/>
  <c r="I32" i="1"/>
  <c r="R5" i="1"/>
  <c r="S17" i="1"/>
  <c r="E43" i="1"/>
  <c r="M41" i="1"/>
  <c r="H23" i="1"/>
  <c r="E32" i="1"/>
  <c r="T28" i="1"/>
  <c r="N42" i="1"/>
  <c r="M21" i="1"/>
  <c r="T41" i="1"/>
  <c r="M31" i="1"/>
  <c r="J40" i="1"/>
  <c r="M23" i="1"/>
  <c r="H17" i="1"/>
  <c r="D5" i="1"/>
  <c r="N32" i="1"/>
  <c r="N9" i="1"/>
  <c r="I4" i="1"/>
  <c r="E19" i="1"/>
  <c r="N34" i="1"/>
  <c r="N5" i="1"/>
  <c r="D35" i="1"/>
  <c r="J20" i="1"/>
  <c r="M5" i="1"/>
  <c r="I11" i="1"/>
  <c r="D6" i="1"/>
  <c r="E18" i="1"/>
  <c r="R9" i="1"/>
  <c r="S21" i="1"/>
  <c r="N31" i="1"/>
  <c r="D43" i="1"/>
  <c r="J29" i="1"/>
  <c r="K29" i="1" s="1"/>
  <c r="M17" i="1"/>
  <c r="S46" i="1"/>
  <c r="R40" i="1"/>
  <c r="O42" i="1"/>
  <c r="M42" i="1"/>
  <c r="C41" i="1"/>
  <c r="O4" i="1"/>
  <c r="M18" i="1"/>
  <c r="M40" i="1"/>
  <c r="O34" i="1"/>
  <c r="D23" i="1"/>
  <c r="R11" i="1"/>
  <c r="N8" i="1"/>
  <c r="O23" i="1"/>
  <c r="S18" i="1"/>
  <c r="S28" i="1"/>
  <c r="T22" i="1"/>
  <c r="S30" i="1"/>
  <c r="I8" i="1"/>
  <c r="E23" i="1"/>
  <c r="S6" i="1"/>
  <c r="D4" i="1"/>
  <c r="E16" i="1"/>
  <c r="R7" i="1"/>
  <c r="S19" i="1"/>
  <c r="E47" i="1"/>
  <c r="R46" i="1"/>
  <c r="M32" i="1"/>
  <c r="R30" i="1"/>
  <c r="J8" i="1"/>
  <c r="H46" i="1"/>
  <c r="T7" i="1"/>
  <c r="S43" i="1"/>
  <c r="I41" i="1"/>
  <c r="O7" i="1"/>
  <c r="I43" i="1"/>
  <c r="R31" i="1"/>
  <c r="C46" i="1"/>
  <c r="J4" i="7"/>
  <c r="M4" i="7" s="1"/>
  <c r="P4" i="7" s="1"/>
  <c r="S4" i="7" s="1"/>
  <c r="V4" i="7" s="1"/>
  <c r="Y4" i="7" s="1"/>
  <c r="AB4" i="7" s="1"/>
  <c r="M39" i="1"/>
  <c r="T3" i="1"/>
  <c r="I39" i="1"/>
  <c r="H3" i="1"/>
  <c r="H39" i="1"/>
  <c r="N39" i="1"/>
  <c r="D39" i="1"/>
  <c r="S39" i="1"/>
  <c r="E39" i="1"/>
  <c r="R3" i="1"/>
  <c r="O39" i="1"/>
  <c r="I3" i="1"/>
  <c r="C3" i="1"/>
  <c r="E3" i="1"/>
  <c r="J3" i="1"/>
  <c r="M3" i="1"/>
  <c r="O3" i="1"/>
  <c r="C39" i="1"/>
  <c r="J39" i="1"/>
  <c r="R39" i="1"/>
  <c r="D3" i="1"/>
  <c r="N3" i="1"/>
  <c r="T39" i="1"/>
  <c r="S3" i="1"/>
  <c r="J27" i="1"/>
  <c r="O27" i="1"/>
  <c r="N27" i="1"/>
  <c r="H27" i="1"/>
  <c r="E27" i="1"/>
  <c r="T27" i="1"/>
  <c r="I27" i="1"/>
  <c r="M27" i="1"/>
  <c r="R27" i="1"/>
  <c r="C27" i="1"/>
  <c r="S27" i="1"/>
  <c r="D27" i="1"/>
  <c r="H15" i="1"/>
  <c r="D15" i="1"/>
  <c r="E15" i="1"/>
  <c r="J15" i="1"/>
  <c r="M15" i="1"/>
  <c r="C15" i="1"/>
  <c r="T15" i="1"/>
  <c r="S15" i="1"/>
  <c r="I15" i="1"/>
  <c r="R15" i="1"/>
  <c r="N15" i="1"/>
  <c r="O15" i="1"/>
  <c r="C4" i="2"/>
  <c r="G15" i="7"/>
  <c r="BA15" i="7" s="1"/>
  <c r="F15" i="7"/>
  <c r="U35" i="1" l="1"/>
  <c r="F7" i="1"/>
  <c r="X23" i="1"/>
  <c r="W6" i="1"/>
  <c r="Y6" i="1" s="1"/>
  <c r="X35" i="1"/>
  <c r="W42" i="1"/>
  <c r="Y42" i="1" s="1"/>
  <c r="X6" i="1"/>
  <c r="W32" i="1"/>
  <c r="Y32" i="1" s="1"/>
  <c r="X30" i="1"/>
  <c r="W30" i="1"/>
  <c r="Y30" i="1" s="1"/>
  <c r="W18" i="1"/>
  <c r="Y18" i="1" s="1"/>
  <c r="X18" i="1"/>
  <c r="W44" i="1"/>
  <c r="Y44" i="1" s="1"/>
  <c r="W8" i="1"/>
  <c r="Y8" i="1" s="1"/>
  <c r="X20" i="1"/>
  <c r="X32" i="1"/>
  <c r="W20" i="1"/>
  <c r="Y20" i="1" s="1"/>
  <c r="W43" i="1"/>
  <c r="Y43" i="1" s="1"/>
  <c r="W7" i="1"/>
  <c r="Y7" i="1" s="1"/>
  <c r="X31" i="1"/>
  <c r="X19" i="1"/>
  <c r="W19" i="1"/>
  <c r="Y19" i="1" s="1"/>
  <c r="W31" i="1"/>
  <c r="Y31" i="1" s="1"/>
  <c r="X16" i="1"/>
  <c r="W4" i="1"/>
  <c r="Y4" i="1" s="1"/>
  <c r="W16" i="1"/>
  <c r="Y16" i="1" s="1"/>
  <c r="W40" i="1"/>
  <c r="Y40" i="1" s="1"/>
  <c r="W28" i="1"/>
  <c r="Y28" i="1" s="1"/>
  <c r="W10" i="1"/>
  <c r="Y10" i="1" s="1"/>
  <c r="X34" i="1"/>
  <c r="W22" i="1"/>
  <c r="Y22" i="1" s="1"/>
  <c r="X10" i="1"/>
  <c r="W46" i="1"/>
  <c r="Y46" i="1" s="1"/>
  <c r="W34" i="1"/>
  <c r="Y34" i="1" s="1"/>
  <c r="X22" i="1"/>
  <c r="W47" i="1"/>
  <c r="Y47" i="1" s="1"/>
  <c r="W35" i="1"/>
  <c r="Y35" i="1" s="1"/>
  <c r="X47" i="1"/>
  <c r="W11" i="1"/>
  <c r="Y11" i="1" s="1"/>
  <c r="W23" i="1"/>
  <c r="Y23" i="1" s="1"/>
  <c r="W5" i="1"/>
  <c r="Y5" i="1" s="1"/>
  <c r="W41" i="1"/>
  <c r="Y41" i="1" s="1"/>
  <c r="W17" i="1"/>
  <c r="Y17" i="1" s="1"/>
  <c r="W29" i="1"/>
  <c r="Y29" i="1" s="1"/>
  <c r="U23" i="1"/>
  <c r="K41" i="1"/>
  <c r="J19" i="7"/>
  <c r="I21" i="7"/>
  <c r="J20" i="7"/>
  <c r="BB20" i="7" s="1"/>
  <c r="I20" i="7"/>
  <c r="J21" i="7"/>
  <c r="I17" i="7"/>
  <c r="J16" i="7"/>
  <c r="I16" i="7"/>
  <c r="J17" i="7"/>
  <c r="I19" i="7"/>
  <c r="J18" i="7"/>
  <c r="BB18" i="7" s="1"/>
  <c r="I18" i="7"/>
  <c r="I23" i="7"/>
  <c r="J22" i="7"/>
  <c r="I22" i="7"/>
  <c r="J23" i="7"/>
  <c r="K31" i="1"/>
  <c r="U11" i="1"/>
  <c r="P7" i="1"/>
  <c r="U20" i="1"/>
  <c r="W9" i="1"/>
  <c r="Y9" i="1" s="1"/>
  <c r="X21" i="1"/>
  <c r="U16" i="1"/>
  <c r="P5" i="1"/>
  <c r="K6" i="1"/>
  <c r="W21" i="1"/>
  <c r="Y21" i="1" s="1"/>
  <c r="W33" i="1"/>
  <c r="Y33" i="1" s="1"/>
  <c r="X9" i="1"/>
  <c r="W45" i="1"/>
  <c r="Y45" i="1" s="1"/>
  <c r="P10" i="7"/>
  <c r="M17" i="7"/>
  <c r="M19" i="7"/>
  <c r="M21" i="7"/>
  <c r="M23" i="7"/>
  <c r="L16" i="7"/>
  <c r="L18" i="7"/>
  <c r="L20" i="7"/>
  <c r="L22" i="7"/>
  <c r="M16" i="7"/>
  <c r="M18" i="7"/>
  <c r="BC18" i="7" s="1"/>
  <c r="M20" i="7"/>
  <c r="BC20" i="7" s="1"/>
  <c r="M22" i="7"/>
  <c r="L17" i="7"/>
  <c r="L19" i="7"/>
  <c r="L21" i="7"/>
  <c r="L23" i="7"/>
  <c r="K42" i="1"/>
  <c r="X33" i="1"/>
  <c r="K28" i="1"/>
  <c r="U19" i="1"/>
  <c r="U46" i="1"/>
  <c r="K46" i="1"/>
  <c r="P31" i="1"/>
  <c r="U7" i="1"/>
  <c r="K11" i="1"/>
  <c r="K17" i="1"/>
  <c r="P8" i="1"/>
  <c r="K9" i="1"/>
  <c r="U10" i="1"/>
  <c r="K10" i="1"/>
  <c r="P28" i="1"/>
  <c r="P18" i="1"/>
  <c r="P30" i="1"/>
  <c r="K33" i="1"/>
  <c r="P22" i="1"/>
  <c r="X7" i="1"/>
  <c r="U8" i="1"/>
  <c r="P20" i="1"/>
  <c r="F6" i="1"/>
  <c r="K32" i="1"/>
  <c r="F31" i="1"/>
  <c r="K19" i="1"/>
  <c r="U45" i="1"/>
  <c r="U34" i="1"/>
  <c r="K23" i="1"/>
  <c r="F20" i="1"/>
  <c r="U44" i="1"/>
  <c r="K22" i="1"/>
  <c r="K45" i="1"/>
  <c r="U21" i="1"/>
  <c r="U29" i="1"/>
  <c r="K44" i="1"/>
  <c r="P33" i="1"/>
  <c r="P6" i="1"/>
  <c r="U43" i="1"/>
  <c r="U22" i="1"/>
  <c r="F9" i="1"/>
  <c r="K4" i="1"/>
  <c r="U17" i="1"/>
  <c r="X8" i="1"/>
  <c r="F8" i="1"/>
  <c r="F30" i="1"/>
  <c r="U18" i="1"/>
  <c r="P10" i="1"/>
  <c r="K21" i="1"/>
  <c r="P46" i="1"/>
  <c r="K35" i="1"/>
  <c r="X11" i="1"/>
  <c r="U30" i="1"/>
  <c r="P23" i="1"/>
  <c r="P32" i="1"/>
  <c r="F10" i="1"/>
  <c r="X5" i="1"/>
  <c r="U28" i="1"/>
  <c r="U9" i="1"/>
  <c r="P16" i="1"/>
  <c r="P43" i="1"/>
  <c r="K7" i="1"/>
  <c r="F17" i="1"/>
  <c r="F23" i="1"/>
  <c r="P9" i="1"/>
  <c r="F34" i="1"/>
  <c r="F35" i="1"/>
  <c r="F11" i="1"/>
  <c r="F21" i="1"/>
  <c r="F32" i="1"/>
  <c r="X17" i="1"/>
  <c r="K43" i="1"/>
  <c r="P4" i="1"/>
  <c r="P44" i="1"/>
  <c r="K8" i="1"/>
  <c r="F4" i="1"/>
  <c r="F33" i="1"/>
  <c r="F16" i="1"/>
  <c r="P17" i="1"/>
  <c r="F18" i="1"/>
  <c r="P19" i="1"/>
  <c r="P21" i="1"/>
  <c r="K18" i="1"/>
  <c r="U31" i="1"/>
  <c r="P45" i="1"/>
  <c r="F42" i="1"/>
  <c r="X42" i="1"/>
  <c r="P40" i="1"/>
  <c r="U47" i="1"/>
  <c r="X4" i="1"/>
  <c r="F5" i="1"/>
  <c r="P34" i="1"/>
  <c r="P42" i="1"/>
  <c r="F44" i="1"/>
  <c r="X44" i="1"/>
  <c r="K40" i="1"/>
  <c r="X43" i="1"/>
  <c r="F43" i="1"/>
  <c r="X29" i="1"/>
  <c r="F29" i="1"/>
  <c r="X28" i="1"/>
  <c r="F28" i="1"/>
  <c r="X40" i="1"/>
  <c r="F40" i="1"/>
  <c r="U6" i="1"/>
  <c r="U41" i="1"/>
  <c r="F45" i="1"/>
  <c r="X45" i="1"/>
  <c r="U42" i="1"/>
  <c r="K47" i="1"/>
  <c r="F22" i="1"/>
  <c r="F19" i="1"/>
  <c r="K20" i="1"/>
  <c r="P41" i="1"/>
  <c r="F46" i="1"/>
  <c r="X46" i="1"/>
  <c r="X41" i="1"/>
  <c r="F41" i="1"/>
  <c r="U5" i="1"/>
  <c r="P29" i="1"/>
  <c r="F47" i="1"/>
  <c r="W27" i="1"/>
  <c r="Y27" i="1" s="1"/>
  <c r="U27" i="1"/>
  <c r="P27" i="1"/>
  <c r="K15" i="1"/>
  <c r="U3" i="1"/>
  <c r="P15" i="1"/>
  <c r="J15" i="7"/>
  <c r="BB15" i="7" s="1"/>
  <c r="I15" i="7"/>
  <c r="U15" i="1"/>
  <c r="AE4" i="7"/>
  <c r="F3" i="1"/>
  <c r="X3" i="1"/>
  <c r="K39" i="1"/>
  <c r="W15" i="1"/>
  <c r="Y15" i="1" s="1"/>
  <c r="W39" i="1"/>
  <c r="Y39" i="1" s="1"/>
  <c r="F39" i="1"/>
  <c r="X39" i="1"/>
  <c r="X15" i="1"/>
  <c r="F15" i="1"/>
  <c r="X27" i="1"/>
  <c r="F27" i="1"/>
  <c r="W3" i="1"/>
  <c r="Y3" i="1" s="1"/>
  <c r="P39" i="1"/>
  <c r="K27" i="1"/>
  <c r="P3" i="1"/>
  <c r="K3" i="1"/>
  <c r="U39" i="1"/>
  <c r="AA42" i="1" l="1"/>
  <c r="AA6" i="1"/>
  <c r="AA18" i="1"/>
  <c r="AA30" i="1"/>
  <c r="AA44" i="1"/>
  <c r="AA20" i="1"/>
  <c r="AA32" i="1"/>
  <c r="AA8" i="1"/>
  <c r="AA43" i="1"/>
  <c r="AA19" i="1"/>
  <c r="AA31" i="1"/>
  <c r="AA7" i="1"/>
  <c r="AA28" i="1"/>
  <c r="AA4" i="1"/>
  <c r="AA40" i="1"/>
  <c r="AA16" i="1"/>
  <c r="AA46" i="1"/>
  <c r="AA22" i="1"/>
  <c r="AA34" i="1"/>
  <c r="AA10" i="1"/>
  <c r="AA23" i="1"/>
  <c r="AA11" i="1"/>
  <c r="AA35" i="1"/>
  <c r="AA47" i="1"/>
  <c r="AA41" i="1"/>
  <c r="AA17" i="1"/>
  <c r="AA5" i="1"/>
  <c r="AA29" i="1"/>
  <c r="AA33" i="1"/>
  <c r="AA45" i="1"/>
  <c r="AA21" i="1"/>
  <c r="AA9" i="1"/>
  <c r="S10" i="7"/>
  <c r="P17" i="7"/>
  <c r="P19" i="7"/>
  <c r="P21" i="7"/>
  <c r="P23" i="7"/>
  <c r="O16" i="7"/>
  <c r="O18" i="7"/>
  <c r="O20" i="7"/>
  <c r="O22" i="7"/>
  <c r="P16" i="7"/>
  <c r="P18" i="7"/>
  <c r="BD18" i="7" s="1"/>
  <c r="P20" i="7"/>
  <c r="BD20" i="7" s="1"/>
  <c r="P22" i="7"/>
  <c r="O17" i="7"/>
  <c r="O19" i="7"/>
  <c r="O21" i="7"/>
  <c r="O23" i="7"/>
  <c r="AA27" i="1"/>
  <c r="AA3" i="1"/>
  <c r="AA15" i="1"/>
  <c r="AH4" i="7"/>
  <c r="M15" i="7"/>
  <c r="BC15" i="7" s="1"/>
  <c r="L15" i="7"/>
  <c r="AA39" i="1"/>
  <c r="V10" i="7" l="1"/>
  <c r="S17" i="7"/>
  <c r="S19" i="7"/>
  <c r="S21" i="7"/>
  <c r="S23" i="7"/>
  <c r="R16" i="7"/>
  <c r="R18" i="7"/>
  <c r="R20" i="7"/>
  <c r="R22" i="7"/>
  <c r="S16" i="7"/>
  <c r="S18" i="7"/>
  <c r="BE18" i="7" s="1"/>
  <c r="S20" i="7"/>
  <c r="BE20" i="7" s="1"/>
  <c r="S22" i="7"/>
  <c r="R17" i="7"/>
  <c r="R19" i="7"/>
  <c r="R21" i="7"/>
  <c r="R23" i="7"/>
  <c r="O15" i="7"/>
  <c r="P15" i="7"/>
  <c r="BD15" i="7" s="1"/>
  <c r="AK4" i="7"/>
  <c r="Y10" i="7" l="1"/>
  <c r="V17" i="7"/>
  <c r="V19" i="7"/>
  <c r="V21" i="7"/>
  <c r="V23" i="7"/>
  <c r="U16" i="7"/>
  <c r="U18" i="7"/>
  <c r="U20" i="7"/>
  <c r="U22" i="7"/>
  <c r="V16" i="7"/>
  <c r="V18" i="7"/>
  <c r="BF18" i="7" s="1"/>
  <c r="V20" i="7"/>
  <c r="BF20" i="7" s="1"/>
  <c r="V22" i="7"/>
  <c r="U17" i="7"/>
  <c r="U19" i="7"/>
  <c r="U21" i="7"/>
  <c r="U23" i="7"/>
  <c r="AN4" i="7"/>
  <c r="R15" i="7"/>
  <c r="S15" i="7"/>
  <c r="BE15" i="7" s="1"/>
  <c r="AB10" i="7" l="1"/>
  <c r="Y17" i="7"/>
  <c r="Y19" i="7"/>
  <c r="Y21" i="7"/>
  <c r="Y23" i="7"/>
  <c r="X16" i="7"/>
  <c r="X18" i="7"/>
  <c r="X20" i="7"/>
  <c r="X22" i="7"/>
  <c r="Y16" i="7"/>
  <c r="Y18" i="7"/>
  <c r="BG18" i="7" s="1"/>
  <c r="Y20" i="7"/>
  <c r="BG20" i="7" s="1"/>
  <c r="Y22" i="7"/>
  <c r="X17" i="7"/>
  <c r="X19" i="7"/>
  <c r="X21" i="7"/>
  <c r="X23" i="7"/>
  <c r="AQ4" i="7"/>
  <c r="V15" i="7"/>
  <c r="BF15" i="7" s="1"/>
  <c r="U15" i="7"/>
  <c r="AE10" i="7" l="1"/>
  <c r="AB17" i="7"/>
  <c r="AB19" i="7"/>
  <c r="AB21" i="7"/>
  <c r="AB23" i="7"/>
  <c r="AA16" i="7"/>
  <c r="AA18" i="7"/>
  <c r="AA20" i="7"/>
  <c r="AA22" i="7"/>
  <c r="AB16" i="7"/>
  <c r="AB18" i="7"/>
  <c r="BH18" i="7" s="1"/>
  <c r="AB20" i="7"/>
  <c r="BH20" i="7" s="1"/>
  <c r="AB22" i="7"/>
  <c r="AA17" i="7"/>
  <c r="AA19" i="7"/>
  <c r="AA21" i="7"/>
  <c r="AA23" i="7"/>
  <c r="AT4" i="7"/>
  <c r="X15" i="7"/>
  <c r="Y15" i="7"/>
  <c r="BG15" i="7" s="1"/>
  <c r="AH10" i="7" l="1"/>
  <c r="AE17" i="7"/>
  <c r="AE19" i="7"/>
  <c r="AE21" i="7"/>
  <c r="AE23" i="7"/>
  <c r="AD16" i="7"/>
  <c r="AD18" i="7"/>
  <c r="AD20" i="7"/>
  <c r="AD22" i="7"/>
  <c r="AE16" i="7"/>
  <c r="AE18" i="7"/>
  <c r="BI18" i="7" s="1"/>
  <c r="AE20" i="7"/>
  <c r="BI20" i="7" s="1"/>
  <c r="AE22" i="7"/>
  <c r="AD17" i="7"/>
  <c r="AD19" i="7"/>
  <c r="AD21" i="7"/>
  <c r="AD23" i="7"/>
  <c r="AW4" i="7"/>
  <c r="AA15" i="7"/>
  <c r="AB15" i="7"/>
  <c r="BH15" i="7" s="1"/>
  <c r="AK10" i="7" l="1"/>
  <c r="AH17" i="7"/>
  <c r="AH19" i="7"/>
  <c r="AH21" i="7"/>
  <c r="AH23" i="7"/>
  <c r="AG16" i="7"/>
  <c r="AG18" i="7"/>
  <c r="AG20" i="7"/>
  <c r="AG22" i="7"/>
  <c r="AH16" i="7"/>
  <c r="AH18" i="7"/>
  <c r="BJ18" i="7" s="1"/>
  <c r="AH20" i="7"/>
  <c r="BJ20" i="7" s="1"/>
  <c r="AH22" i="7"/>
  <c r="AG17" i="7"/>
  <c r="AG19" i="7"/>
  <c r="AG21" i="7"/>
  <c r="AG23" i="7"/>
  <c r="AE15" i="7"/>
  <c r="BI15" i="7" s="1"/>
  <c r="AD15" i="7"/>
  <c r="AN10" i="7" l="1"/>
  <c r="AK17" i="7"/>
  <c r="AK19" i="7"/>
  <c r="AK21" i="7"/>
  <c r="AK23" i="7"/>
  <c r="AJ16" i="7"/>
  <c r="AJ18" i="7"/>
  <c r="AJ20" i="7"/>
  <c r="AJ22" i="7"/>
  <c r="AK16" i="7"/>
  <c r="AK18" i="7"/>
  <c r="BK18" i="7" s="1"/>
  <c r="AK20" i="7"/>
  <c r="BK20" i="7" s="1"/>
  <c r="AK22" i="7"/>
  <c r="AJ17" i="7"/>
  <c r="AJ19" i="7"/>
  <c r="AJ21" i="7"/>
  <c r="AJ23" i="7"/>
  <c r="AH15" i="7"/>
  <c r="BJ15" i="7" s="1"/>
  <c r="AG15" i="7"/>
  <c r="AQ10" i="7" l="1"/>
  <c r="AN17" i="7"/>
  <c r="AN19" i="7"/>
  <c r="AN21" i="7"/>
  <c r="AN23" i="7"/>
  <c r="AM16" i="7"/>
  <c r="AM18" i="7"/>
  <c r="AM20" i="7"/>
  <c r="AM22" i="7"/>
  <c r="AN16" i="7"/>
  <c r="AN18" i="7"/>
  <c r="BL18" i="7" s="1"/>
  <c r="AN20" i="7"/>
  <c r="BL20" i="7" s="1"/>
  <c r="AN22" i="7"/>
  <c r="AM17" i="7"/>
  <c r="AM19" i="7"/>
  <c r="AM21" i="7"/>
  <c r="AM23" i="7"/>
  <c r="AK15" i="7"/>
  <c r="BK15" i="7" s="1"/>
  <c r="AJ15" i="7"/>
  <c r="AT10" i="7" l="1"/>
  <c r="AQ17" i="7"/>
  <c r="AQ19" i="7"/>
  <c r="AQ21" i="7"/>
  <c r="AQ23" i="7"/>
  <c r="AP16" i="7"/>
  <c r="AP18" i="7"/>
  <c r="AP20" i="7"/>
  <c r="AP22" i="7"/>
  <c r="AQ16" i="7"/>
  <c r="AQ18" i="7"/>
  <c r="BM18" i="7" s="1"/>
  <c r="AQ20" i="7"/>
  <c r="BM20" i="7" s="1"/>
  <c r="AQ22" i="7"/>
  <c r="AP17" i="7"/>
  <c r="AP19" i="7"/>
  <c r="AP21" i="7"/>
  <c r="AP23" i="7"/>
  <c r="AN15" i="7"/>
  <c r="BL15" i="7" s="1"/>
  <c r="AM15" i="7"/>
  <c r="AW10" i="7" l="1"/>
  <c r="AT17" i="7"/>
  <c r="AT19" i="7"/>
  <c r="AT21" i="7"/>
  <c r="AT23" i="7"/>
  <c r="AS16" i="7"/>
  <c r="AS18" i="7"/>
  <c r="AS20" i="7"/>
  <c r="AS22" i="7"/>
  <c r="AT16" i="7"/>
  <c r="AT18" i="7"/>
  <c r="BN18" i="7" s="1"/>
  <c r="AT20" i="7"/>
  <c r="BN20" i="7" s="1"/>
  <c r="AT22" i="7"/>
  <c r="AS17" i="7"/>
  <c r="AS19" i="7"/>
  <c r="AS21" i="7"/>
  <c r="AS23" i="7"/>
  <c r="AQ15" i="7"/>
  <c r="BM15" i="7" s="1"/>
  <c r="AP15" i="7"/>
  <c r="AW17" i="7" l="1"/>
  <c r="BO17" i="7" s="1"/>
  <c r="AW19" i="7"/>
  <c r="BO19" i="7" s="1"/>
  <c r="AW21" i="7"/>
  <c r="BO21" i="7" s="1"/>
  <c r="AW23" i="7"/>
  <c r="BO23" i="7" s="1"/>
  <c r="AV16" i="7"/>
  <c r="AV18" i="7"/>
  <c r="AV20" i="7"/>
  <c r="AV22" i="7"/>
  <c r="AW16" i="7"/>
  <c r="BO16" i="7" s="1"/>
  <c r="AW18" i="7"/>
  <c r="BO18" i="7" s="1"/>
  <c r="AW20" i="7"/>
  <c r="BO20" i="7" s="1"/>
  <c r="AW22" i="7"/>
  <c r="BO22" i="7" s="1"/>
  <c r="AV17" i="7"/>
  <c r="AV19" i="7"/>
  <c r="AV21" i="7"/>
  <c r="AV23" i="7"/>
  <c r="AS15" i="7"/>
  <c r="AT15" i="7"/>
  <c r="BN15" i="7" s="1"/>
  <c r="AW15" i="7" l="1"/>
  <c r="BO15" i="7" s="1"/>
  <c r="AV15" i="7"/>
</calcChain>
</file>

<file path=xl/sharedStrings.xml><?xml version="1.0" encoding="utf-8"?>
<sst xmlns="http://schemas.openxmlformats.org/spreadsheetml/2006/main" count="527" uniqueCount="98">
  <si>
    <t>Team</t>
  </si>
  <si>
    <t>2nd Runner</t>
  </si>
  <si>
    <t>3rd Runner</t>
  </si>
  <si>
    <t>4th Runner</t>
  </si>
  <si>
    <t>1st Runner</t>
  </si>
  <si>
    <t>Stage 1</t>
  </si>
  <si>
    <t>Runner</t>
  </si>
  <si>
    <t>Time</t>
  </si>
  <si>
    <t>min/km</t>
  </si>
  <si>
    <t>km</t>
  </si>
  <si>
    <t>Rank</t>
  </si>
  <si>
    <t>Stage</t>
  </si>
  <si>
    <t>Stage 2</t>
  </si>
  <si>
    <t>Stage 3</t>
  </si>
  <si>
    <t>Stage 4</t>
  </si>
  <si>
    <t>Stage 5</t>
  </si>
  <si>
    <t>Stage 6</t>
  </si>
  <si>
    <t>Stage 7</t>
  </si>
  <si>
    <t>Stage 8</t>
  </si>
  <si>
    <t xml:space="preserve">Overall </t>
  </si>
  <si>
    <t xml:space="preserve">Morning </t>
  </si>
  <si>
    <t>Stage 9</t>
  </si>
  <si>
    <t>Stage 10</t>
  </si>
  <si>
    <t>Stage 11</t>
  </si>
  <si>
    <t>Stage 12</t>
  </si>
  <si>
    <t>Stage 13</t>
  </si>
  <si>
    <t>Stage 14</t>
  </si>
  <si>
    <t xml:space="preserve">A/noon </t>
  </si>
  <si>
    <t>Ones</t>
  </si>
  <si>
    <t>Twos</t>
  </si>
  <si>
    <t>Threes</t>
  </si>
  <si>
    <t>Fours</t>
  </si>
  <si>
    <t>Dist</t>
  </si>
  <si>
    <t>Run 1</t>
  </si>
  <si>
    <t>Run 2</t>
  </si>
  <si>
    <t>Run 3</t>
  </si>
  <si>
    <t>Run 4</t>
  </si>
  <si>
    <t>Name</t>
  </si>
  <si>
    <t>Distance</t>
  </si>
  <si>
    <t>Total</t>
  </si>
  <si>
    <t>Average</t>
  </si>
  <si>
    <t>Cumulative</t>
  </si>
  <si>
    <t>Margin</t>
  </si>
  <si>
    <t>Place</t>
  </si>
  <si>
    <t>Team Name</t>
  </si>
  <si>
    <t>Count Name</t>
  </si>
  <si>
    <t>Seeding Order</t>
  </si>
  <si>
    <t>Selection Metric?</t>
  </si>
  <si>
    <t>Stage 15</t>
  </si>
  <si>
    <t>Stage 16</t>
  </si>
  <si>
    <t>Stage 1-4</t>
  </si>
  <si>
    <t>Simon Bevege</t>
  </si>
  <si>
    <t>Ewen Vowels</t>
  </si>
  <si>
    <t>Richard Does</t>
  </si>
  <si>
    <t>Glenn Carroll</t>
  </si>
  <si>
    <t>Anthony Mithen</t>
  </si>
  <si>
    <t>Chris Osborne</t>
  </si>
  <si>
    <t>James Chiriano</t>
  </si>
  <si>
    <t>David Alcock</t>
  </si>
  <si>
    <t>Rob Dalton</t>
  </si>
  <si>
    <t>David Hartley</t>
  </si>
  <si>
    <t>Nick Tobin</t>
  </si>
  <si>
    <t>Andrew Coles</t>
  </si>
  <si>
    <t>Stevie Williams</t>
  </si>
  <si>
    <t>Dave Munro</t>
  </si>
  <si>
    <t>Simon Tu</t>
  </si>
  <si>
    <t>Andrew Compson</t>
  </si>
  <si>
    <t>Peter Larsen</t>
  </si>
  <si>
    <t>Bruce Arthur</t>
  </si>
  <si>
    <t>Alex Kimp</t>
  </si>
  <si>
    <t>Stephen Paine</t>
  </si>
  <si>
    <t>Clem Scott</t>
  </si>
  <si>
    <t>Shane Fielding</t>
  </si>
  <si>
    <t>Katie Seibold</t>
  </si>
  <si>
    <t>Dan Langelaan</t>
  </si>
  <si>
    <t>Garth Calder</t>
  </si>
  <si>
    <t>Mark Symes</t>
  </si>
  <si>
    <t>Joe Vaughan</t>
  </si>
  <si>
    <t>Tony Hally</t>
  </si>
  <si>
    <t>Greg Roche</t>
  </si>
  <si>
    <t>Janice De Vries</t>
  </si>
  <si>
    <t>Simon Moore</t>
  </si>
  <si>
    <t>Dale Nardella</t>
  </si>
  <si>
    <t>Selim Ahmed</t>
  </si>
  <si>
    <t>Chris Wade</t>
  </si>
  <si>
    <t>Elisa Mooren</t>
  </si>
  <si>
    <t>Matt Clark</t>
  </si>
  <si>
    <t>Big Trouble in Little Tokyo</t>
  </si>
  <si>
    <t>Red Nitro's</t>
  </si>
  <si>
    <t>Slips is a Loser</t>
  </si>
  <si>
    <t>Octonaughts</t>
  </si>
  <si>
    <t>Black Widows</t>
  </si>
  <si>
    <t>Maroon 4</t>
  </si>
  <si>
    <t>Bermuda Quadrangles</t>
  </si>
  <si>
    <t>Duff'd It Up - The Sequel</t>
  </si>
  <si>
    <t>Seed</t>
  </si>
  <si>
    <t>* Team did not finish due to missing runner on stage 12.</t>
  </si>
  <si>
    <t>Rosebud or Bust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</si>
</sst>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"/>
  </numFmts>
  <fonts count="24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sz val="11"/>
      <name val="Century Gothic"/>
      <family val="2"/>
    </font>
    <font>
      <sz val="10"/>
      <color indexed="22"/>
      <name val="Tahoma"/>
      <family val="2"/>
    </font>
    <font>
      <sz val="8"/>
      <color indexed="12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23"/>
      <name val="Tahoma"/>
      <family val="2"/>
    </font>
    <font>
      <sz val="10"/>
      <color indexed="23"/>
      <name val="Tahoma"/>
      <family val="2"/>
    </font>
    <font>
      <b/>
      <sz val="10"/>
      <color indexed="23"/>
      <name val="Webdings"/>
      <family val="1"/>
      <charset val="2"/>
    </font>
    <font>
      <b/>
      <i/>
      <sz val="10"/>
      <color indexed="12"/>
      <name val="Tahoma"/>
      <family val="2"/>
    </font>
    <font>
      <i/>
      <sz val="10"/>
      <name val="Arial"/>
      <family val="2"/>
    </font>
    <font>
      <b/>
      <i/>
      <sz val="8"/>
      <color indexed="12"/>
      <name val="Tahoma"/>
      <family val="2"/>
    </font>
    <font>
      <sz val="10"/>
      <color indexed="23"/>
      <name val="Tahoma"/>
      <family val="2"/>
    </font>
    <font>
      <u/>
      <sz val="10"/>
      <color indexed="23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4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Continuous"/>
    </xf>
    <xf numFmtId="2" fontId="2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Continuous"/>
    </xf>
    <xf numFmtId="164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64" fontId="2" fillId="2" borderId="8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Continuous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0" fontId="8" fillId="3" borderId="0" xfId="0" applyFont="1" applyFill="1" applyAlignment="1">
      <alignment horizontal="right"/>
    </xf>
    <xf numFmtId="0" fontId="4" fillId="3" borderId="0" xfId="0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2" fontId="4" fillId="3" borderId="0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2" fontId="5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45" fontId="2" fillId="3" borderId="0" xfId="0" applyNumberFormat="1" applyFont="1" applyFill="1" applyBorder="1" applyAlignment="1" applyProtection="1">
      <alignment horizontal="center" vertical="center"/>
    </xf>
    <xf numFmtId="164" fontId="2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1" fontId="1" fillId="3" borderId="0" xfId="0" applyNumberFormat="1" applyFont="1" applyFill="1" applyAlignment="1" applyProtection="1">
      <alignment horizontal="center"/>
    </xf>
    <xf numFmtId="0" fontId="2" fillId="3" borderId="0" xfId="0" applyFont="1" applyFill="1" applyProtection="1"/>
    <xf numFmtId="2" fontId="2" fillId="3" borderId="0" xfId="0" applyNumberFormat="1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Protection="1"/>
    <xf numFmtId="0" fontId="4" fillId="4" borderId="12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left" vertical="center"/>
    </xf>
    <xf numFmtId="21" fontId="1" fillId="4" borderId="3" xfId="0" applyNumberFormat="1" applyFont="1" applyFill="1" applyBorder="1" applyAlignment="1" applyProtection="1">
      <alignment horizontal="center" vertical="center"/>
    </xf>
    <xf numFmtId="1" fontId="1" fillId="4" borderId="3" xfId="0" applyNumberFormat="1" applyFont="1" applyFill="1" applyBorder="1" applyAlignment="1" applyProtection="1">
      <alignment horizontal="center" vertical="center"/>
    </xf>
    <xf numFmtId="2" fontId="4" fillId="4" borderId="13" xfId="0" applyNumberFormat="1" applyFont="1" applyFill="1" applyBorder="1" applyAlignment="1" applyProtection="1">
      <alignment horizontal="right" vertical="center"/>
    </xf>
    <xf numFmtId="0" fontId="4" fillId="4" borderId="14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vertical="center"/>
    </xf>
    <xf numFmtId="2" fontId="5" fillId="4" borderId="3" xfId="0" applyNumberFormat="1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vertical="center"/>
      <protection locked="0"/>
    </xf>
    <xf numFmtId="45" fontId="2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2" fontId="5" fillId="3" borderId="0" xfId="0" applyNumberFormat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1" fontId="4" fillId="3" borderId="0" xfId="0" applyNumberFormat="1" applyFont="1" applyFill="1" applyAlignment="1" applyProtection="1">
      <alignment horizontal="center" vertical="center"/>
    </xf>
    <xf numFmtId="2" fontId="5" fillId="3" borderId="0" xfId="0" applyNumberFormat="1" applyFont="1" applyFill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5" xfId="0" applyNumberFormat="1" applyFont="1" applyFill="1" applyBorder="1" applyAlignment="1">
      <alignment horizontal="left" vertical="center"/>
    </xf>
    <xf numFmtId="45" fontId="2" fillId="4" borderId="8" xfId="0" applyNumberFormat="1" applyFont="1" applyFill="1" applyBorder="1" applyAlignment="1">
      <alignment horizontal="center" vertical="center"/>
    </xf>
    <xf numFmtId="21" fontId="2" fillId="4" borderId="9" xfId="0" applyNumberFormat="1" applyFont="1" applyFill="1" applyBorder="1" applyAlignment="1">
      <alignment horizontal="center" vertical="center"/>
    </xf>
    <xf numFmtId="0" fontId="0" fillId="3" borderId="0" xfId="0" applyNumberFormat="1" applyFill="1" applyAlignment="1">
      <alignment horizontal="left"/>
    </xf>
    <xf numFmtId="0" fontId="4" fillId="4" borderId="12" xfId="0" applyFont="1" applyFill="1" applyBorder="1" applyAlignment="1">
      <alignment horizontal="left" vertical="center"/>
    </xf>
    <xf numFmtId="0" fontId="4" fillId="4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Continuous" vertical="center"/>
    </xf>
    <xf numFmtId="0" fontId="4" fillId="4" borderId="13" xfId="0" applyFont="1" applyFill="1" applyBorder="1" applyAlignment="1">
      <alignment horizontal="centerContinuous" vertical="center"/>
    </xf>
    <xf numFmtId="0" fontId="0" fillId="4" borderId="14" xfId="0" applyFill="1" applyBorder="1" applyAlignment="1">
      <alignment horizontal="centerContinuous"/>
    </xf>
    <xf numFmtId="0" fontId="0" fillId="4" borderId="16" xfId="0" applyNumberForma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0" fontId="4" fillId="3" borderId="0" xfId="0" applyFont="1" applyFill="1"/>
    <xf numFmtId="0" fontId="4" fillId="3" borderId="0" xfId="0" applyNumberFormat="1" applyFont="1" applyFill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3" borderId="0" xfId="0" applyFont="1" applyFill="1"/>
    <xf numFmtId="0" fontId="11" fillId="3" borderId="0" xfId="0" applyFont="1" applyFill="1" applyAlignment="1">
      <alignment vertical="center"/>
    </xf>
    <xf numFmtId="0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0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/>
    </xf>
    <xf numFmtId="164" fontId="13" fillId="3" borderId="0" xfId="0" applyNumberFormat="1" applyFont="1" applyFill="1" applyAlignment="1">
      <alignment horizontal="center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2" fontId="8" fillId="3" borderId="0" xfId="0" applyNumberFormat="1" applyFont="1" applyFill="1" applyProtection="1"/>
    <xf numFmtId="4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" fillId="4" borderId="12" xfId="0" applyFont="1" applyFill="1" applyBorder="1" applyAlignment="1" applyProtection="1">
      <alignment horizontal="left" vertical="center"/>
    </xf>
    <xf numFmtId="0" fontId="17" fillId="4" borderId="12" xfId="0" applyNumberFormat="1" applyFont="1" applyFill="1" applyBorder="1" applyAlignment="1">
      <alignment horizontal="centerContinuous" vertical="center"/>
    </xf>
    <xf numFmtId="0" fontId="17" fillId="4" borderId="13" xfId="0" applyFont="1" applyFill="1" applyBorder="1" applyAlignment="1">
      <alignment horizontal="centerContinuous" vertical="center"/>
    </xf>
    <xf numFmtId="0" fontId="18" fillId="4" borderId="14" xfId="0" applyFont="1" applyFill="1" applyBorder="1" applyAlignment="1">
      <alignment horizontal="centerContinuous"/>
    </xf>
    <xf numFmtId="0" fontId="17" fillId="4" borderId="3" xfId="0" applyNumberFormat="1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0" fontId="17" fillId="3" borderId="0" xfId="0" applyNumberFormat="1" applyFont="1" applyFill="1" applyAlignment="1">
      <alignment horizontal="left"/>
    </xf>
    <xf numFmtId="0" fontId="17" fillId="4" borderId="15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8" fillId="3" borderId="0" xfId="0" applyNumberFormat="1" applyFont="1" applyFill="1" applyAlignment="1">
      <alignment horizontal="left"/>
    </xf>
    <xf numFmtId="0" fontId="18" fillId="3" borderId="0" xfId="0" applyFont="1" applyFill="1"/>
    <xf numFmtId="0" fontId="15" fillId="3" borderId="0" xfId="0" applyFont="1" applyFill="1"/>
    <xf numFmtId="21" fontId="2" fillId="0" borderId="5" xfId="0" applyNumberFormat="1" applyFont="1" applyBorder="1" applyAlignment="1">
      <alignment horizontal="center"/>
    </xf>
    <xf numFmtId="21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/>
    <xf numFmtId="0" fontId="2" fillId="0" borderId="6" xfId="0" applyFont="1" applyBorder="1"/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0" fillId="3" borderId="0" xfId="0" applyFont="1" applyFill="1" applyAlignment="1">
      <alignment horizontal="center"/>
    </xf>
    <xf numFmtId="0" fontId="20" fillId="3" borderId="0" xfId="0" applyFont="1" applyFill="1"/>
    <xf numFmtId="1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1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5" xfId="0" applyFont="1" applyFill="1" applyBorder="1" applyAlignment="1" applyProtection="1">
      <alignment vertical="center"/>
      <protection locked="0"/>
    </xf>
    <xf numFmtId="21" fontId="2" fillId="0" borderId="1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5" fontId="2" fillId="5" borderId="8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horizontal="center"/>
    </xf>
    <xf numFmtId="45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</xf>
    <xf numFmtId="21" fontId="1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23" fillId="5" borderId="0" xfId="0" applyFont="1" applyFill="1" applyAlignment="1" applyProtection="1">
      <alignment horizontal="left" vertical="center" wrapText="1"/>
    </xf>
    <xf numFmtId="164" fontId="22" fillId="5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MMM 5Ms Relay - Teams by Stage</a:t>
            </a:r>
          </a:p>
        </c:rich>
      </c:tx>
      <c:layout>
        <c:manualLayout>
          <c:xMode val="edge"/>
          <c:yMode val="edge"/>
          <c:x val="0.36401240951396069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95966907962964E-2"/>
          <c:y val="9.6450091165535212E-2"/>
          <c:w val="0.84833263682755566"/>
          <c:h val="0.70536588284547597"/>
        </c:manualLayout>
      </c:layout>
      <c:lineChart>
        <c:grouping val="standard"/>
        <c:varyColors val="0"/>
        <c:ser>
          <c:idx val="0"/>
          <c:order val="0"/>
          <c:tx>
            <c:strRef>
              <c:f>'Teams by Stage'!$AY$15</c:f>
              <c:strCache>
                <c:ptCount val="1"/>
                <c:pt idx="0">
                  <c:v>Big Trouble in Little Tokyo</c:v>
                </c:pt>
              </c:strCache>
            </c:strRef>
          </c:tx>
          <c:spPr>
            <a:ln w="31750">
              <a:solidFill>
                <a:schemeClr val="bg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bg1"/>
              </a:solidFill>
              <a:ln w="6350">
                <a:solidFill>
                  <a:srgbClr val="FF0000"/>
                </a:solidFill>
                <a:prstDash val="solid"/>
              </a:ln>
            </c:spPr>
          </c:marker>
          <c:val>
            <c:numRef>
              <c:f>'Teams by Stage'!$AZ$15:$BO$15</c:f>
              <c:numCache>
                <c:formatCode>m:ss</c:formatCode>
                <c:ptCount val="16"/>
                <c:pt idx="0">
                  <c:v>1.7361111111111049E-4</c:v>
                </c:pt>
                <c:pt idx="1">
                  <c:v>1.05324074074074E-3</c:v>
                </c:pt>
                <c:pt idx="2">
                  <c:v>1.840277777777781E-3</c:v>
                </c:pt>
                <c:pt idx="3">
                  <c:v>7.407407407407432E-4</c:v>
                </c:pt>
                <c:pt idx="4">
                  <c:v>9.1435185185185369E-4</c:v>
                </c:pt>
                <c:pt idx="5">
                  <c:v>1.7824074074074062E-3</c:v>
                </c:pt>
                <c:pt idx="6">
                  <c:v>2.2453703703703698E-3</c:v>
                </c:pt>
                <c:pt idx="7">
                  <c:v>9.2592592592616318E-5</c:v>
                </c:pt>
                <c:pt idx="8">
                  <c:v>1.6319444444444497E-3</c:v>
                </c:pt>
                <c:pt idx="9">
                  <c:v>1.9328703703703765E-3</c:v>
                </c:pt>
                <c:pt idx="10">
                  <c:v>0</c:v>
                </c:pt>
                <c:pt idx="11">
                  <c:v>5.6712962962962576E-4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1.0532407407407296E-3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A8-40CE-8BB5-15BE541F905C}"/>
            </c:ext>
          </c:extLst>
        </c:ser>
        <c:ser>
          <c:idx val="1"/>
          <c:order val="1"/>
          <c:tx>
            <c:strRef>
              <c:f>'Teams by Stage'!$AY$16</c:f>
              <c:strCache>
                <c:ptCount val="1"/>
                <c:pt idx="0">
                  <c:v>Maroon 4</c:v>
                </c:pt>
              </c:strCache>
            </c:strRef>
          </c:tx>
          <c:spPr>
            <a:ln w="3175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6350">
                <a:solidFill>
                  <a:srgbClr val="FF0000"/>
                </a:solidFill>
                <a:prstDash val="solid"/>
              </a:ln>
            </c:spPr>
          </c:marker>
          <c:val>
            <c:numRef>
              <c:f>'Teams by Stage'!$AZ$16:$BO$16</c:f>
              <c:numCache>
                <c:formatCode>m:ss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1.226851851851854E-3</c:v>
                </c:pt>
                <c:pt idx="3">
                  <c:v>1.0069444444444423E-3</c:v>
                </c:pt>
                <c:pt idx="4">
                  <c:v>6.481481481481477E-4</c:v>
                </c:pt>
                <c:pt idx="5">
                  <c:v>7.638888888888834E-4</c:v>
                </c:pt>
                <c:pt idx="6">
                  <c:v>1.5162037037037002E-3</c:v>
                </c:pt>
                <c:pt idx="7">
                  <c:v>1.1111111111111183E-3</c:v>
                </c:pt>
                <c:pt idx="8">
                  <c:v>2.6736111111110988E-3</c:v>
                </c:pt>
                <c:pt idx="9">
                  <c:v>2.4768518518518412E-3</c:v>
                </c:pt>
                <c:pt idx="10">
                  <c:v>1.9907407407407235E-3</c:v>
                </c:pt>
                <c:pt idx="11">
                  <c:v>1.631944444444422E-3</c:v>
                </c:pt>
                <c:pt idx="12">
                  <c:v>2.8703703703703565E-3</c:v>
                </c:pt>
                <c:pt idx="13">
                  <c:v>5.0231481481481377E-3</c:v>
                </c:pt>
                <c:pt idx="14">
                  <c:v>4.3981481481481233E-3</c:v>
                </c:pt>
                <c:pt idx="15">
                  <c:v>3.7615740740740422E-3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A8-40CE-8BB5-15BE541F905C}"/>
            </c:ext>
          </c:extLst>
        </c:ser>
        <c:ser>
          <c:idx val="2"/>
          <c:order val="2"/>
          <c:tx>
            <c:strRef>
              <c:f>'Teams by Stage'!$AY$17</c:f>
              <c:strCache>
                <c:ptCount val="1"/>
                <c:pt idx="0">
                  <c:v>Slips is a Loser</c:v>
                </c:pt>
              </c:strCache>
            </c:strRef>
          </c:tx>
          <c:spPr>
            <a:ln w="3175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 w="6350">
                <a:solidFill>
                  <a:srgbClr val="FF0000"/>
                </a:solidFill>
                <a:prstDash val="solid"/>
              </a:ln>
            </c:spPr>
          </c:marker>
          <c:val>
            <c:numRef>
              <c:f>'Teams by Stage'!$AZ$17:$BO$17</c:f>
              <c:numCache>
                <c:formatCode>m:ss</c:formatCode>
                <c:ptCount val="16"/>
                <c:pt idx="0">
                  <c:v>2.3148148148148008E-4</c:v>
                </c:pt>
                <c:pt idx="1">
                  <c:v>3.4722222222222099E-4</c:v>
                </c:pt>
                <c:pt idx="2">
                  <c:v>5.0925925925925791E-4</c:v>
                </c:pt>
                <c:pt idx="3">
                  <c:v>3.4722222222220711E-5</c:v>
                </c:pt>
                <c:pt idx="4">
                  <c:v>2.0833333333333121E-4</c:v>
                </c:pt>
                <c:pt idx="5">
                  <c:v>9.7222222222222154E-4</c:v>
                </c:pt>
                <c:pt idx="6">
                  <c:v>5.3240740740739811E-4</c:v>
                </c:pt>
                <c:pt idx="7">
                  <c:v>0</c:v>
                </c:pt>
                <c:pt idx="8">
                  <c:v>1.0416666666666491E-3</c:v>
                </c:pt>
                <c:pt idx="9">
                  <c:v>1.4004629629629506E-3</c:v>
                </c:pt>
                <c:pt idx="10">
                  <c:v>5.5555555555554526E-4</c:v>
                </c:pt>
                <c:pt idx="11">
                  <c:v>2.8935185185186008E-4</c:v>
                </c:pt>
                <c:pt idx="12">
                  <c:v>2.1990740740741033E-3</c:v>
                </c:pt>
                <c:pt idx="13">
                  <c:v>9.8379629629632981E-4</c:v>
                </c:pt>
                <c:pt idx="14">
                  <c:v>7.7546296296299166E-4</c:v>
                </c:pt>
                <c:pt idx="15">
                  <c:v>1.3541666666666841E-3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A8-40CE-8BB5-15BE541F905C}"/>
            </c:ext>
          </c:extLst>
        </c:ser>
        <c:ser>
          <c:idx val="3"/>
          <c:order val="3"/>
          <c:tx>
            <c:strRef>
              <c:f>'Teams by Stage'!$AY$18</c:f>
              <c:strCache>
                <c:ptCount val="1"/>
                <c:pt idx="0">
                  <c:v>Rosebud or Bust</c:v>
                </c:pt>
              </c:strCache>
            </c:strRef>
          </c:tx>
          <c:spPr>
            <a:ln w="3175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'Teams by Stage'!$AZ$18:$BO$18</c:f>
              <c:numCache>
                <c:formatCode>m:ss</c:formatCode>
                <c:ptCount val="16"/>
                <c:pt idx="0">
                  <c:v>6.9444444444443157E-5</c:v>
                </c:pt>
                <c:pt idx="1">
                  <c:v>2.8935185185184967E-4</c:v>
                </c:pt>
                <c:pt idx="2">
                  <c:v>5.3240740740740505E-4</c:v>
                </c:pt>
                <c:pt idx="3">
                  <c:v>1.3541666666666632E-3</c:v>
                </c:pt>
                <c:pt idx="4">
                  <c:v>1.3194444444444356E-3</c:v>
                </c:pt>
                <c:pt idx="5">
                  <c:v>3.1944444444444303E-3</c:v>
                </c:pt>
                <c:pt idx="6">
                  <c:v>2.5462962962962826E-3</c:v>
                </c:pt>
                <c:pt idx="7">
                  <c:v>4.2476851851851877E-3</c:v>
                </c:pt>
                <c:pt idx="8">
                  <c:v>3.7384259259259228E-3</c:v>
                </c:pt>
                <c:pt idx="9">
                  <c:v>4.479166666666673E-3</c:v>
                </c:pt>
                <c:pt idx="10">
                  <c:v>4.8379629629629606E-3</c:v>
                </c:pt>
                <c:pt idx="11">
                  <c:v>1.4027777777777778E-2</c:v>
                </c:pt>
                <c:pt idx="12">
                  <c:v>1.9884259259259268E-2</c:v>
                </c:pt>
                <c:pt idx="13">
                  <c:v>2.5902777777777775E-2</c:v>
                </c:pt>
                <c:pt idx="14">
                  <c:v>3.2488425925925907E-2</c:v>
                </c:pt>
                <c:pt idx="15">
                  <c:v>3.9328703703703671E-2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A8-40CE-8BB5-15BE541F905C}"/>
            </c:ext>
          </c:extLst>
        </c:ser>
        <c:ser>
          <c:idx val="4"/>
          <c:order val="4"/>
          <c:tx>
            <c:strRef>
              <c:f>'Teams by Stage'!$AY$19</c:f>
              <c:strCache>
                <c:ptCount val="1"/>
                <c:pt idx="0">
                  <c:v>Bermuda Quadrangles</c:v>
                </c:pt>
              </c:strCache>
            </c:strRef>
          </c:tx>
          <c:spPr>
            <a:ln w="3175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FF0000"/>
                </a:solidFill>
                <a:prstDash val="solid"/>
              </a:ln>
            </c:spPr>
          </c:marker>
          <c:val>
            <c:numRef>
              <c:f>'Teams by Stage'!$AZ$19:$BO$19</c:f>
              <c:numCache>
                <c:formatCode>m:ss</c:formatCode>
                <c:ptCount val="16"/>
                <c:pt idx="0">
                  <c:v>1.2731481481481448E-4</c:v>
                </c:pt>
                <c:pt idx="1">
                  <c:v>8.6805555555555594E-4</c:v>
                </c:pt>
                <c:pt idx="2">
                  <c:v>8.9120370370370655E-4</c:v>
                </c:pt>
                <c:pt idx="3">
                  <c:v>9.3750000000000083E-4</c:v>
                </c:pt>
                <c:pt idx="4">
                  <c:v>1.1342592592592585E-3</c:v>
                </c:pt>
                <c:pt idx="5">
                  <c:v>2.0833333333333329E-3</c:v>
                </c:pt>
                <c:pt idx="6">
                  <c:v>1.9907407407407374E-3</c:v>
                </c:pt>
                <c:pt idx="7">
                  <c:v>4.0972222222222382E-3</c:v>
                </c:pt>
                <c:pt idx="8">
                  <c:v>4.4097222222222315E-3</c:v>
                </c:pt>
                <c:pt idx="9">
                  <c:v>5.4513888888889084E-3</c:v>
                </c:pt>
                <c:pt idx="10">
                  <c:v>5.2314814814815036E-3</c:v>
                </c:pt>
                <c:pt idx="11">
                  <c:v>5.0578703703703931E-3</c:v>
                </c:pt>
                <c:pt idx="12">
                  <c:v>5.9722222222222676E-3</c:v>
                </c:pt>
                <c:pt idx="13">
                  <c:v>6.6087962962963487E-3</c:v>
                </c:pt>
                <c:pt idx="14">
                  <c:v>6.8055555555555924E-3</c:v>
                </c:pt>
                <c:pt idx="15">
                  <c:v>6.9675925925926085E-3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7A8-40CE-8BB5-15BE541F905C}"/>
            </c:ext>
          </c:extLst>
        </c:ser>
        <c:ser>
          <c:idx val="5"/>
          <c:order val="5"/>
          <c:tx>
            <c:strRef>
              <c:f>'Teams by Stage'!$AY$20</c:f>
              <c:strCache>
                <c:ptCount val="1"/>
                <c:pt idx="0">
                  <c:v>Duff'd It Up - The Sequel</c:v>
                </c:pt>
              </c:strCache>
            </c:strRef>
          </c:tx>
          <c:spPr>
            <a:ln w="31750">
              <a:solidFill>
                <a:srgbClr val="FFFF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 w="6350">
                <a:solidFill>
                  <a:srgbClr val="FF0000"/>
                </a:solidFill>
                <a:prstDash val="solid"/>
              </a:ln>
            </c:spPr>
          </c:marker>
          <c:val>
            <c:numRef>
              <c:f>'Teams by Stage'!$AZ$20:$BO$20</c:f>
              <c:numCache>
                <c:formatCode>m:ss</c:formatCode>
                <c:ptCount val="16"/>
                <c:pt idx="0">
                  <c:v>1.1574074074074073E-3</c:v>
                </c:pt>
                <c:pt idx="1">
                  <c:v>1.05324074074074E-3</c:v>
                </c:pt>
                <c:pt idx="2">
                  <c:v>7.5231481481481677E-4</c:v>
                </c:pt>
                <c:pt idx="3">
                  <c:v>9.6064814814814797E-4</c:v>
                </c:pt>
                <c:pt idx="4">
                  <c:v>2.0023148148148109E-3</c:v>
                </c:pt>
                <c:pt idx="5">
                  <c:v>2.3726851851851791E-3</c:v>
                </c:pt>
                <c:pt idx="6">
                  <c:v>2.187499999999995E-3</c:v>
                </c:pt>
                <c:pt idx="7">
                  <c:v>4.2245370370370544E-3</c:v>
                </c:pt>
                <c:pt idx="8">
                  <c:v>3.9004629629629667E-3</c:v>
                </c:pt>
                <c:pt idx="9">
                  <c:v>4.7800925925925997E-3</c:v>
                </c:pt>
                <c:pt idx="10">
                  <c:v>4.7106481481481582E-3</c:v>
                </c:pt>
                <c:pt idx="11">
                  <c:v>4.849537037037055E-3</c:v>
                </c:pt>
                <c:pt idx="12">
                  <c:v>6.6898148148148429E-3</c:v>
                </c:pt>
                <c:pt idx="13">
                  <c:v>6.9675925925926085E-3</c:v>
                </c:pt>
                <c:pt idx="14">
                  <c:v>7.3842592592592571E-3</c:v>
                </c:pt>
                <c:pt idx="15">
                  <c:v>1.0821759259259239E-2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7A8-40CE-8BB5-15BE541F905C}"/>
            </c:ext>
          </c:extLst>
        </c:ser>
        <c:ser>
          <c:idx val="6"/>
          <c:order val="6"/>
          <c:tx>
            <c:strRef>
              <c:f>'Teams by Stage'!$AY$21</c:f>
              <c:strCache>
                <c:ptCount val="1"/>
                <c:pt idx="0">
                  <c:v>Red Nitro's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6350">
                <a:solidFill>
                  <a:srgbClr val="FF0000"/>
                </a:solidFill>
              </a:ln>
            </c:spPr>
          </c:marker>
          <c:val>
            <c:numRef>
              <c:f>'Teams by Stage'!$AZ$21:$BO$21</c:f>
              <c:numCache>
                <c:formatCode>m:ss</c:formatCode>
                <c:ptCount val="16"/>
                <c:pt idx="0">
                  <c:v>3.0092592592592497E-4</c:v>
                </c:pt>
                <c:pt idx="1">
                  <c:v>2.1990740740740825E-4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2.4305555555556579E-4</c:v>
                </c:pt>
                <c:pt idx="8">
                  <c:v>0</c:v>
                </c:pt>
                <c:pt idx="9">
                  <c:v>0</c:v>
                </c:pt>
                <c:pt idx="10">
                  <c:v>1.3888888888888284E-4</c:v>
                </c:pt>
                <c:pt idx="11">
                  <c:v>0</c:v>
                </c:pt>
                <c:pt idx="12">
                  <c:v>1.2268518518518678E-3</c:v>
                </c:pt>
                <c:pt idx="13">
                  <c:v>8.7962962962964686E-4</c:v>
                </c:pt>
                <c:pt idx="14">
                  <c:v>3.8194444444444864E-4</c:v>
                </c:pt>
                <c:pt idx="1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7A8-40CE-8BB5-15BE541F905C}"/>
            </c:ext>
          </c:extLst>
        </c:ser>
        <c:ser>
          <c:idx val="7"/>
          <c:order val="7"/>
          <c:tx>
            <c:strRef>
              <c:f>'Teams by Stage'!$AY$22</c:f>
              <c:strCache>
                <c:ptCount val="1"/>
                <c:pt idx="0">
                  <c:v>Black Widows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'Teams by Stage'!$AZ$22:$BO$22</c:f>
              <c:numCache>
                <c:formatCode>m:ss</c:formatCode>
                <c:ptCount val="16"/>
                <c:pt idx="0">
                  <c:v>2.1990740740740651E-4</c:v>
                </c:pt>
                <c:pt idx="1">
                  <c:v>7.523148148148133E-4</c:v>
                </c:pt>
                <c:pt idx="2">
                  <c:v>4.2824074074074292E-4</c:v>
                </c:pt>
                <c:pt idx="3">
                  <c:v>4.745370370370372E-4</c:v>
                </c:pt>
                <c:pt idx="4">
                  <c:v>7.1759259259258912E-4</c:v>
                </c:pt>
                <c:pt idx="5">
                  <c:v>1.5624999999999944E-3</c:v>
                </c:pt>
                <c:pt idx="6">
                  <c:v>1.203703703703693E-3</c:v>
                </c:pt>
                <c:pt idx="7">
                  <c:v>1.2500000000000011E-3</c:v>
                </c:pt>
                <c:pt idx="8">
                  <c:v>1.1805555555555458E-3</c:v>
                </c:pt>
                <c:pt idx="9">
                  <c:v>1.6319444444444359E-3</c:v>
                </c:pt>
                <c:pt idx="10">
                  <c:v>1.9328703703703626E-3</c:v>
                </c:pt>
                <c:pt idx="11">
                  <c:v>1.4351851851851782E-3</c:v>
                </c:pt>
                <c:pt idx="12">
                  <c:v>2.5462962962962965E-3</c:v>
                </c:pt>
                <c:pt idx="13">
                  <c:v>3.1828703703703498E-3</c:v>
                </c:pt>
                <c:pt idx="14">
                  <c:v>3.1249999999999611E-3</c:v>
                </c:pt>
                <c:pt idx="15">
                  <c:v>3.2754629629629106E-3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7A8-40CE-8BB5-15BE541F905C}"/>
            </c:ext>
          </c:extLst>
        </c:ser>
        <c:ser>
          <c:idx val="8"/>
          <c:order val="8"/>
          <c:tx>
            <c:strRef>
              <c:f>'Teams by Stage'!$AY$23</c:f>
              <c:strCache>
                <c:ptCount val="1"/>
                <c:pt idx="0">
                  <c:v>Octonaughts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tx2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'Teams by Stage'!$AZ$23:$BO$23</c:f>
              <c:numCache>
                <c:formatCode>m:ss</c:formatCode>
                <c:ptCount val="16"/>
                <c:pt idx="0">
                  <c:v>1.099537037037036E-3</c:v>
                </c:pt>
                <c:pt idx="1">
                  <c:v>1.0300925925925929E-3</c:v>
                </c:pt>
                <c:pt idx="2">
                  <c:v>7.5231481481481677E-4</c:v>
                </c:pt>
                <c:pt idx="3">
                  <c:v>7.9861111111111105E-4</c:v>
                </c:pt>
                <c:pt idx="4">
                  <c:v>1.9328703703703695E-3</c:v>
                </c:pt>
                <c:pt idx="5">
                  <c:v>1.759259259259259E-3</c:v>
                </c:pt>
                <c:pt idx="6">
                  <c:v>1.307870370370362E-3</c:v>
                </c:pt>
                <c:pt idx="7">
                  <c:v>1.1458333333333459E-3</c:v>
                </c:pt>
                <c:pt idx="8">
                  <c:v>1.1805555555555597E-3</c:v>
                </c:pt>
                <c:pt idx="9">
                  <c:v>1.8402777777777879E-3</c:v>
                </c:pt>
                <c:pt idx="10">
                  <c:v>2.1412037037037146E-3</c:v>
                </c:pt>
                <c:pt idx="11">
                  <c:v>1.8865740740740822E-3</c:v>
                </c:pt>
                <c:pt idx="12">
                  <c:v>4.1319444444444797E-3</c:v>
                </c:pt>
                <c:pt idx="13">
                  <c:v>4.155092592592613E-3</c:v>
                </c:pt>
                <c:pt idx="14">
                  <c:v>4.0162037037037024E-3</c:v>
                </c:pt>
                <c:pt idx="15">
                  <c:v>3.1712962962962832E-3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7A8-40CE-8BB5-15BE541F9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36328"/>
        <c:axId val="638537112"/>
      </c:lineChart>
      <c:catAx>
        <c:axId val="638536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Stage</a:t>
                </a:r>
              </a:p>
            </c:rich>
          </c:tx>
          <c:layout>
            <c:manualLayout>
              <c:xMode val="edge"/>
              <c:yMode val="edge"/>
              <c:x val="0.43433298862461223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537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8537112"/>
        <c:scaling>
          <c:orientation val="minMax"/>
          <c:max val="1.388888900000000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Minutes Behind Lead Team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35544217687074831"/>
            </c:manualLayout>
          </c:layout>
          <c:overlay val="0"/>
          <c:spPr>
            <a:noFill/>
            <a:ln w="25400">
              <a:noFill/>
            </a:ln>
          </c:spPr>
        </c:title>
        <c:numFmt formatCode="m:ss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536328"/>
        <c:crosses val="autoZero"/>
        <c:crossBetween val="between"/>
        <c:majorUnit val="1.3888890000000004E-3"/>
      </c:valAx>
      <c:spPr>
        <a:gradFill rotWithShape="0">
          <a:gsLst>
            <a:gs pos="0">
              <a:srgbClr val="FF6600"/>
            </a:gs>
            <a:gs pos="50000">
              <a:srgbClr val="FFCC99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6646663976189151E-2"/>
          <c:y val="0.86875866891729836"/>
          <c:w val="0.83014791871804705"/>
          <c:h val="0.10636424295210012"/>
        </c:manualLayout>
      </c:layout>
      <c:overlay val="0"/>
      <c:spPr>
        <a:solidFill>
          <a:schemeClr val="accent6">
            <a:lumMod val="40000"/>
            <a:lumOff val="60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zoomScale="115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1"/>
  <sheetViews>
    <sheetView workbookViewId="0"/>
  </sheetViews>
  <sheetFormatPr defaultRowHeight="12.75" x14ac:dyDescent="0.2"/>
  <cols>
    <col min="1" max="1" width="3.42578125" style="117" customWidth="1"/>
    <col min="2" max="2" width="48.7109375" style="118" bestFit="1" customWidth="1"/>
    <col min="3" max="3" width="4.7109375" style="118" customWidth="1"/>
    <col min="4" max="4" width="20.7109375" style="117" customWidth="1"/>
    <col min="5" max="5" width="4.7109375" style="118" customWidth="1"/>
    <col min="6" max="6" width="20.7109375" style="117" customWidth="1"/>
    <col min="7" max="7" width="4.7109375" style="118" customWidth="1"/>
    <col min="8" max="8" width="20.7109375" style="117" customWidth="1"/>
    <col min="9" max="9" width="4.7109375" style="118" customWidth="1"/>
    <col min="10" max="10" width="20.7109375" style="117" customWidth="1"/>
    <col min="11" max="11" width="17.42578125" style="117" customWidth="1"/>
    <col min="12" max="16" width="9.140625" style="117"/>
    <col min="17" max="16384" width="9.140625" style="119"/>
  </cols>
  <sheetData>
    <row r="1" spans="1:16" s="120" customFormat="1" x14ac:dyDescent="0.2">
      <c r="A1" s="27"/>
      <c r="B1" s="28"/>
      <c r="C1" s="28"/>
      <c r="D1" s="27"/>
      <c r="E1" s="28"/>
      <c r="F1" s="27"/>
      <c r="G1" s="28"/>
      <c r="H1" s="27"/>
      <c r="I1" s="28"/>
      <c r="J1" s="27"/>
      <c r="K1" s="27"/>
      <c r="L1" s="27"/>
      <c r="M1" s="27"/>
      <c r="N1" s="27"/>
      <c r="O1" s="27"/>
      <c r="P1" s="27"/>
    </row>
    <row r="2" spans="1:16" s="121" customFormat="1" ht="20.100000000000001" customHeight="1" x14ac:dyDescent="0.2">
      <c r="A2" s="33"/>
      <c r="B2" s="35" t="s">
        <v>44</v>
      </c>
      <c r="C2" s="36" t="s">
        <v>4</v>
      </c>
      <c r="D2" s="36"/>
      <c r="E2" s="36" t="s">
        <v>1</v>
      </c>
      <c r="F2" s="36"/>
      <c r="G2" s="36" t="s">
        <v>2</v>
      </c>
      <c r="H2" s="36"/>
      <c r="I2" s="36" t="s">
        <v>3</v>
      </c>
      <c r="J2" s="36"/>
      <c r="K2" s="131" t="s">
        <v>47</v>
      </c>
      <c r="L2" s="33"/>
      <c r="M2" s="33"/>
      <c r="N2" s="33"/>
      <c r="O2" s="33"/>
      <c r="P2" s="33"/>
    </row>
    <row r="3" spans="1:16" s="122" customFormat="1" ht="18.75" customHeight="1" x14ac:dyDescent="0.2">
      <c r="A3" s="34"/>
      <c r="B3" s="134" t="s">
        <v>87</v>
      </c>
      <c r="C3" s="130">
        <v>1</v>
      </c>
      <c r="D3" s="38" t="str">
        <f>VLOOKUP(C3,$I$15:$J$38,2,FALSE)</f>
        <v>Simon Bevege</v>
      </c>
      <c r="E3" s="37">
        <v>18</v>
      </c>
      <c r="F3" s="38" t="str">
        <f t="shared" ref="F3:F11" si="0">VLOOKUP(E3,$I$15:$J$50,2,FALSE)</f>
        <v>Katie Seibold</v>
      </c>
      <c r="G3" s="37">
        <v>20</v>
      </c>
      <c r="H3" s="38" t="str">
        <f t="shared" ref="H3:H11" si="1">VLOOKUP(G3,$I$15:$J$50,2,FALSE)</f>
        <v>Garth Calder</v>
      </c>
      <c r="I3" s="37">
        <v>36</v>
      </c>
      <c r="J3" s="38" t="str">
        <f t="shared" ref="J3:J11" si="2">VLOOKUP(I3,$I$15:$J$50,2,FALSE)</f>
        <v>Matt Clark</v>
      </c>
      <c r="K3" s="132">
        <f t="shared" ref="K3:K11" si="3">+C3+E3+G3+I3</f>
        <v>75</v>
      </c>
      <c r="L3" s="33"/>
      <c r="M3" s="34"/>
      <c r="N3" s="34"/>
      <c r="O3" s="34"/>
      <c r="P3" s="34"/>
    </row>
    <row r="4" spans="1:16" s="122" customFormat="1" ht="18.75" customHeight="1" x14ac:dyDescent="0.2">
      <c r="A4" s="34"/>
      <c r="B4" s="134" t="s">
        <v>92</v>
      </c>
      <c r="C4" s="130">
        <v>2</v>
      </c>
      <c r="D4" s="38" t="str">
        <f>VLOOKUP(C4,$I$15:$J$50,2,FALSE)</f>
        <v>Andrew Coles</v>
      </c>
      <c r="E4" s="37">
        <v>16</v>
      </c>
      <c r="F4" s="38" t="str">
        <f t="shared" si="0"/>
        <v>Clem Scott</v>
      </c>
      <c r="G4" s="37">
        <v>19</v>
      </c>
      <c r="H4" s="38" t="str">
        <f t="shared" si="1"/>
        <v>Dan Langelaan</v>
      </c>
      <c r="I4" s="37">
        <v>35</v>
      </c>
      <c r="J4" s="38" t="str">
        <f t="shared" si="2"/>
        <v>Elisa Mooren</v>
      </c>
      <c r="K4" s="132">
        <f t="shared" si="3"/>
        <v>72</v>
      </c>
      <c r="L4" s="33"/>
      <c r="M4" s="34"/>
      <c r="N4" s="34"/>
      <c r="O4" s="34"/>
      <c r="P4" s="34"/>
    </row>
    <row r="5" spans="1:16" s="122" customFormat="1" ht="18.75" customHeight="1" x14ac:dyDescent="0.2">
      <c r="A5" s="34"/>
      <c r="B5" s="134" t="s">
        <v>89</v>
      </c>
      <c r="C5" s="130">
        <v>3</v>
      </c>
      <c r="D5" s="38" t="str">
        <f>VLOOKUP(C5,$I$15:$J$50,2,FALSE)</f>
        <v>Stevie Williams</v>
      </c>
      <c r="E5" s="37">
        <v>17</v>
      </c>
      <c r="F5" s="38" t="str">
        <f t="shared" si="0"/>
        <v>Shane Fielding</v>
      </c>
      <c r="G5" s="37">
        <v>22</v>
      </c>
      <c r="H5" s="38" t="str">
        <f t="shared" si="1"/>
        <v>Joe Vaughan</v>
      </c>
      <c r="I5" s="37">
        <v>34</v>
      </c>
      <c r="J5" s="38" t="str">
        <f t="shared" si="2"/>
        <v>Nick Tobin</v>
      </c>
      <c r="K5" s="132">
        <f t="shared" si="3"/>
        <v>76</v>
      </c>
      <c r="L5" s="33"/>
      <c r="M5" s="34"/>
      <c r="N5" s="34"/>
      <c r="O5" s="34"/>
      <c r="P5" s="34"/>
    </row>
    <row r="6" spans="1:16" s="122" customFormat="1" ht="18.75" customHeight="1" x14ac:dyDescent="0.2">
      <c r="A6" s="34"/>
      <c r="B6" s="134" t="s">
        <v>97</v>
      </c>
      <c r="C6" s="130">
        <v>4</v>
      </c>
      <c r="D6" s="38" t="str">
        <f t="shared" ref="D6:D8" si="4">VLOOKUP(C6,$I$15:$J$50,2,FALSE)</f>
        <v>Dave Munro</v>
      </c>
      <c r="E6" s="37">
        <v>15</v>
      </c>
      <c r="F6" s="38" t="str">
        <f t="shared" si="0"/>
        <v>Stephen Paine</v>
      </c>
      <c r="G6" s="37">
        <v>25</v>
      </c>
      <c r="H6" s="38" t="str">
        <f t="shared" si="1"/>
        <v>Glenn Carroll</v>
      </c>
      <c r="I6" s="37">
        <v>30</v>
      </c>
      <c r="J6" s="38" t="str">
        <f t="shared" si="2"/>
        <v>James Chiriano</v>
      </c>
      <c r="K6" s="132">
        <f t="shared" si="3"/>
        <v>74</v>
      </c>
      <c r="L6" s="33"/>
      <c r="M6" s="34"/>
      <c r="N6" s="34"/>
      <c r="O6" s="34"/>
      <c r="P6" s="34"/>
    </row>
    <row r="7" spans="1:16" s="122" customFormat="1" ht="18.75" customHeight="1" x14ac:dyDescent="0.2">
      <c r="A7" s="34"/>
      <c r="B7" s="134" t="s">
        <v>93</v>
      </c>
      <c r="C7" s="130">
        <v>5</v>
      </c>
      <c r="D7" s="38" t="str">
        <f t="shared" si="4"/>
        <v>David Alcock</v>
      </c>
      <c r="E7" s="37">
        <v>11</v>
      </c>
      <c r="F7" s="38" t="str">
        <f t="shared" si="0"/>
        <v>Peter Larsen</v>
      </c>
      <c r="G7" s="37">
        <v>24</v>
      </c>
      <c r="H7" s="38" t="str">
        <f t="shared" si="1"/>
        <v>Ewen Vowels</v>
      </c>
      <c r="I7" s="37">
        <v>33</v>
      </c>
      <c r="J7" s="38" t="str">
        <f t="shared" si="2"/>
        <v>Chris Wade</v>
      </c>
      <c r="K7" s="132">
        <f t="shared" si="3"/>
        <v>73</v>
      </c>
      <c r="L7" s="33"/>
      <c r="M7" s="34"/>
      <c r="N7" s="34"/>
      <c r="O7" s="34"/>
      <c r="P7" s="34"/>
    </row>
    <row r="8" spans="1:16" s="122" customFormat="1" ht="18.75" customHeight="1" x14ac:dyDescent="0.2">
      <c r="A8" s="34"/>
      <c r="B8" s="134" t="s">
        <v>94</v>
      </c>
      <c r="C8" s="130">
        <v>6</v>
      </c>
      <c r="D8" s="38" t="str">
        <f t="shared" si="4"/>
        <v>David Hartley</v>
      </c>
      <c r="E8" s="37">
        <v>14</v>
      </c>
      <c r="F8" s="38" t="str">
        <f t="shared" si="0"/>
        <v>Anthony Mithen</v>
      </c>
      <c r="G8" s="37">
        <v>23</v>
      </c>
      <c r="H8" s="38" t="str">
        <f t="shared" si="1"/>
        <v>Tony Hally</v>
      </c>
      <c r="I8" s="37">
        <v>32</v>
      </c>
      <c r="J8" s="38" t="str">
        <f t="shared" si="2"/>
        <v>Selim Ahmed</v>
      </c>
      <c r="K8" s="132">
        <f t="shared" si="3"/>
        <v>75</v>
      </c>
      <c r="L8" s="33"/>
      <c r="M8" s="34"/>
      <c r="N8" s="34"/>
      <c r="O8" s="34"/>
      <c r="P8" s="34"/>
    </row>
    <row r="9" spans="1:16" s="122" customFormat="1" ht="18.75" customHeight="1" x14ac:dyDescent="0.2">
      <c r="A9" s="34"/>
      <c r="B9" s="134" t="s">
        <v>88</v>
      </c>
      <c r="C9" s="130">
        <v>7</v>
      </c>
      <c r="D9" s="38" t="str">
        <f>VLOOKUP(C9,$I$15:$J$50,2,FALSE)</f>
        <v>Simon Tu</v>
      </c>
      <c r="E9" s="37">
        <v>12</v>
      </c>
      <c r="F9" s="38" t="str">
        <f t="shared" si="0"/>
        <v>Bruce Arthur</v>
      </c>
      <c r="G9" s="37">
        <v>21</v>
      </c>
      <c r="H9" s="38" t="str">
        <f t="shared" si="1"/>
        <v>Mark Symes</v>
      </c>
      <c r="I9" s="37">
        <v>31</v>
      </c>
      <c r="J9" s="38" t="str">
        <f t="shared" si="2"/>
        <v>Dale Nardella</v>
      </c>
      <c r="K9" s="132">
        <f t="shared" si="3"/>
        <v>71</v>
      </c>
      <c r="L9" s="133"/>
      <c r="M9" s="34"/>
      <c r="N9" s="34"/>
      <c r="O9" s="34"/>
      <c r="P9" s="34"/>
    </row>
    <row r="10" spans="1:16" s="122" customFormat="1" ht="18.75" customHeight="1" x14ac:dyDescent="0.2">
      <c r="A10" s="34"/>
      <c r="B10" s="134" t="s">
        <v>91</v>
      </c>
      <c r="C10" s="130">
        <v>8</v>
      </c>
      <c r="D10" s="38" t="str">
        <f>VLOOKUP(C10,$I$15:$J$50,2,FALSE)</f>
        <v>Richard Does</v>
      </c>
      <c r="E10" s="37">
        <v>13</v>
      </c>
      <c r="F10" s="38" t="str">
        <f t="shared" si="0"/>
        <v>Alex Kimp</v>
      </c>
      <c r="G10" s="37">
        <v>26</v>
      </c>
      <c r="H10" s="38" t="str">
        <f t="shared" si="1"/>
        <v>Greg Roche</v>
      </c>
      <c r="I10" s="37">
        <v>27</v>
      </c>
      <c r="J10" s="38" t="str">
        <f t="shared" si="2"/>
        <v>Janice De Vries</v>
      </c>
      <c r="K10" s="132">
        <f t="shared" si="3"/>
        <v>74</v>
      </c>
      <c r="L10" s="33"/>
      <c r="M10" s="34"/>
      <c r="N10" s="34"/>
      <c r="O10" s="34"/>
      <c r="P10" s="34"/>
    </row>
    <row r="11" spans="1:16" s="122" customFormat="1" ht="18.75" customHeight="1" x14ac:dyDescent="0.2">
      <c r="A11" s="34"/>
      <c r="B11" s="134" t="s">
        <v>90</v>
      </c>
      <c r="C11" s="130">
        <v>9</v>
      </c>
      <c r="D11" s="38" t="str">
        <f>VLOOKUP(C11,$I$15:$J$50,2,FALSE)</f>
        <v>Rob Dalton</v>
      </c>
      <c r="E11" s="37">
        <v>10</v>
      </c>
      <c r="F11" s="38" t="str">
        <f t="shared" si="0"/>
        <v>Andrew Compson</v>
      </c>
      <c r="G11" s="37">
        <v>28</v>
      </c>
      <c r="H11" s="38" t="str">
        <f t="shared" si="1"/>
        <v>Simon Moore</v>
      </c>
      <c r="I11" s="37">
        <v>29</v>
      </c>
      <c r="J11" s="38" t="str">
        <f t="shared" si="2"/>
        <v>Chris Osborne</v>
      </c>
      <c r="K11" s="132">
        <f t="shared" si="3"/>
        <v>76</v>
      </c>
      <c r="L11" s="33"/>
      <c r="M11" s="34"/>
      <c r="N11" s="34"/>
      <c r="O11" s="34"/>
      <c r="P11" s="34"/>
    </row>
    <row r="12" spans="1:16" x14ac:dyDescent="0.2">
      <c r="A12" s="29"/>
      <c r="B12" s="39"/>
      <c r="C12" s="29"/>
      <c r="D12" s="29"/>
      <c r="E12" s="31"/>
      <c r="F12" s="29"/>
      <c r="G12" s="31"/>
      <c r="H12" s="29"/>
      <c r="I12" s="31"/>
      <c r="J12" s="29"/>
      <c r="K12" s="29"/>
      <c r="L12" s="29"/>
      <c r="M12" s="29"/>
      <c r="N12" s="29"/>
      <c r="O12" s="29"/>
      <c r="P12" s="29"/>
    </row>
    <row r="13" spans="1:16" x14ac:dyDescent="0.2">
      <c r="A13" s="29"/>
      <c r="B13" s="39"/>
      <c r="C13" s="29"/>
      <c r="D13" s="29"/>
      <c r="E13" s="31"/>
      <c r="F13" s="29"/>
      <c r="G13" s="31"/>
      <c r="H13" s="29"/>
      <c r="I13" s="31"/>
      <c r="J13" s="29"/>
      <c r="K13" s="29"/>
      <c r="L13" s="29"/>
      <c r="M13" s="29"/>
      <c r="N13" s="29"/>
      <c r="O13" s="29"/>
      <c r="P13" s="29"/>
    </row>
    <row r="14" spans="1:16" x14ac:dyDescent="0.2">
      <c r="A14" s="29"/>
      <c r="B14" s="39"/>
      <c r="C14" s="29"/>
      <c r="D14" s="29"/>
      <c r="E14" s="31"/>
      <c r="F14" s="29"/>
      <c r="G14" s="31"/>
      <c r="H14" s="29"/>
      <c r="I14" s="168" t="s">
        <v>46</v>
      </c>
      <c r="J14" s="168"/>
      <c r="K14" s="29"/>
      <c r="L14" s="29"/>
      <c r="M14" s="29"/>
      <c r="N14" s="29"/>
      <c r="O14" s="29"/>
      <c r="P14" s="29"/>
    </row>
    <row r="15" spans="1:16" x14ac:dyDescent="0.2">
      <c r="A15" s="29"/>
      <c r="B15" s="39"/>
      <c r="C15" s="29"/>
      <c r="D15" s="29"/>
      <c r="E15" s="31"/>
      <c r="F15" s="29"/>
      <c r="G15" s="31"/>
      <c r="H15" s="29"/>
      <c r="I15" s="155">
        <v>1</v>
      </c>
      <c r="J15" s="156" t="s">
        <v>51</v>
      </c>
      <c r="K15" s="29"/>
      <c r="L15" s="155">
        <f>I15</f>
        <v>1</v>
      </c>
      <c r="M15" s="29"/>
      <c r="N15" s="29"/>
      <c r="O15" s="29"/>
      <c r="P15" s="29"/>
    </row>
    <row r="16" spans="1:16" x14ac:dyDescent="0.2">
      <c r="A16" s="29"/>
      <c r="B16" s="39"/>
      <c r="C16" s="29"/>
      <c r="D16" s="29"/>
      <c r="E16" s="31"/>
      <c r="F16" s="29"/>
      <c r="G16" s="31"/>
      <c r="H16" s="29"/>
      <c r="I16" s="155">
        <v>2</v>
      </c>
      <c r="J16" s="146" t="s">
        <v>62</v>
      </c>
      <c r="K16" s="29"/>
      <c r="L16" s="155">
        <f t="shared" ref="L16:L50" si="5">I16</f>
        <v>2</v>
      </c>
      <c r="M16" s="29"/>
      <c r="N16" s="29"/>
      <c r="O16" s="29"/>
      <c r="P16" s="29"/>
    </row>
    <row r="17" spans="1:16" x14ac:dyDescent="0.2">
      <c r="A17" s="29"/>
      <c r="B17" s="39"/>
      <c r="C17" s="29"/>
      <c r="D17" s="29"/>
      <c r="E17" s="31"/>
      <c r="F17" s="29"/>
      <c r="G17" s="31"/>
      <c r="H17" s="29"/>
      <c r="I17" s="155">
        <v>3</v>
      </c>
      <c r="J17" s="146" t="s">
        <v>63</v>
      </c>
      <c r="K17" s="29"/>
      <c r="L17" s="155">
        <f t="shared" si="5"/>
        <v>3</v>
      </c>
      <c r="M17" s="29"/>
      <c r="N17" s="29"/>
      <c r="O17" s="29"/>
      <c r="P17" s="29"/>
    </row>
    <row r="18" spans="1:16" x14ac:dyDescent="0.2">
      <c r="A18" s="29"/>
      <c r="B18" s="39"/>
      <c r="C18" s="29"/>
      <c r="D18" s="29"/>
      <c r="E18" s="31"/>
      <c r="F18" s="29"/>
      <c r="G18" s="31"/>
      <c r="H18" s="29"/>
      <c r="I18" s="155">
        <v>4</v>
      </c>
      <c r="J18" s="146" t="s">
        <v>64</v>
      </c>
      <c r="K18" s="29"/>
      <c r="L18" s="155">
        <f t="shared" si="5"/>
        <v>4</v>
      </c>
      <c r="M18" s="29"/>
      <c r="N18" s="29"/>
      <c r="O18" s="29"/>
      <c r="P18" s="29"/>
    </row>
    <row r="19" spans="1:16" x14ac:dyDescent="0.2">
      <c r="A19" s="29"/>
      <c r="B19" s="39"/>
      <c r="C19" s="29"/>
      <c r="D19" s="29"/>
      <c r="E19" s="31"/>
      <c r="F19" s="29"/>
      <c r="G19" s="31"/>
      <c r="H19" s="29"/>
      <c r="I19" s="155">
        <v>5</v>
      </c>
      <c r="J19" s="156" t="s">
        <v>58</v>
      </c>
      <c r="K19" s="29"/>
      <c r="L19" s="155">
        <f t="shared" si="5"/>
        <v>5</v>
      </c>
      <c r="M19" s="29"/>
      <c r="N19" s="29"/>
      <c r="O19" s="29"/>
      <c r="P19" s="29"/>
    </row>
    <row r="20" spans="1:16" x14ac:dyDescent="0.2">
      <c r="A20" s="29"/>
      <c r="B20" s="39"/>
      <c r="C20" s="29"/>
      <c r="D20" s="29"/>
      <c r="E20" s="31"/>
      <c r="F20" s="29"/>
      <c r="G20" s="31"/>
      <c r="H20" s="29"/>
      <c r="I20" s="155">
        <v>6</v>
      </c>
      <c r="J20" s="146" t="s">
        <v>60</v>
      </c>
      <c r="K20" s="29"/>
      <c r="L20" s="155">
        <f t="shared" si="5"/>
        <v>6</v>
      </c>
      <c r="M20" s="29"/>
      <c r="N20" s="29"/>
      <c r="O20" s="29"/>
      <c r="P20" s="29"/>
    </row>
    <row r="21" spans="1:16" x14ac:dyDescent="0.2">
      <c r="A21" s="29"/>
      <c r="B21" s="39"/>
      <c r="C21" s="29"/>
      <c r="D21" s="29"/>
      <c r="E21" s="31"/>
      <c r="F21" s="29"/>
      <c r="G21" s="31"/>
      <c r="H21" s="29"/>
      <c r="I21" s="155">
        <v>7</v>
      </c>
      <c r="J21" s="146" t="s">
        <v>65</v>
      </c>
      <c r="K21" s="29"/>
      <c r="L21" s="155">
        <f t="shared" si="5"/>
        <v>7</v>
      </c>
      <c r="M21" s="29"/>
      <c r="N21" s="29"/>
      <c r="O21" s="29"/>
      <c r="P21" s="29"/>
    </row>
    <row r="22" spans="1:16" x14ac:dyDescent="0.2">
      <c r="A22" s="29"/>
      <c r="B22" s="39"/>
      <c r="C22" s="29"/>
      <c r="D22" s="29"/>
      <c r="E22" s="31"/>
      <c r="F22" s="29"/>
      <c r="G22" s="31"/>
      <c r="H22" s="29"/>
      <c r="I22" s="155">
        <v>8</v>
      </c>
      <c r="J22" s="146" t="s">
        <v>53</v>
      </c>
      <c r="K22" s="29"/>
      <c r="L22" s="155">
        <f t="shared" si="5"/>
        <v>8</v>
      </c>
      <c r="M22" s="29"/>
      <c r="N22" s="29"/>
      <c r="O22" s="29"/>
      <c r="P22" s="29"/>
    </row>
    <row r="23" spans="1:16" x14ac:dyDescent="0.2">
      <c r="A23" s="29"/>
      <c r="B23" s="39"/>
      <c r="C23" s="29"/>
      <c r="D23" s="29"/>
      <c r="E23" s="31"/>
      <c r="F23" s="29"/>
      <c r="G23" s="31"/>
      <c r="H23" s="29"/>
      <c r="I23" s="155">
        <v>9</v>
      </c>
      <c r="J23" s="146" t="s">
        <v>59</v>
      </c>
      <c r="K23" s="29"/>
      <c r="L23" s="155">
        <f t="shared" si="5"/>
        <v>9</v>
      </c>
      <c r="M23" s="29"/>
      <c r="N23" s="29"/>
      <c r="O23" s="29"/>
      <c r="P23" s="29"/>
    </row>
    <row r="24" spans="1:16" x14ac:dyDescent="0.2">
      <c r="A24" s="29"/>
      <c r="B24" s="39"/>
      <c r="C24" s="29"/>
      <c r="D24" s="29"/>
      <c r="E24" s="31"/>
      <c r="F24" s="29"/>
      <c r="G24" s="31"/>
      <c r="H24" s="29"/>
      <c r="I24" s="155">
        <v>10</v>
      </c>
      <c r="J24" s="146" t="s">
        <v>66</v>
      </c>
      <c r="K24" s="29"/>
      <c r="L24" s="155">
        <f t="shared" si="5"/>
        <v>10</v>
      </c>
      <c r="M24" s="29"/>
      <c r="N24" s="29"/>
      <c r="O24" s="29"/>
      <c r="P24" s="29"/>
    </row>
    <row r="25" spans="1:16" x14ac:dyDescent="0.2">
      <c r="A25" s="29"/>
      <c r="B25" s="39"/>
      <c r="C25" s="29"/>
      <c r="D25" s="29"/>
      <c r="E25" s="31"/>
      <c r="F25" s="29"/>
      <c r="G25" s="31"/>
      <c r="H25" s="29"/>
      <c r="I25" s="155">
        <v>11</v>
      </c>
      <c r="J25" s="146" t="s">
        <v>67</v>
      </c>
      <c r="K25" s="29"/>
      <c r="L25" s="155">
        <f t="shared" si="5"/>
        <v>11</v>
      </c>
      <c r="M25" s="29"/>
      <c r="N25" s="29"/>
      <c r="O25" s="29"/>
      <c r="P25" s="29"/>
    </row>
    <row r="26" spans="1:16" x14ac:dyDescent="0.2">
      <c r="A26" s="29"/>
      <c r="B26" s="39"/>
      <c r="C26" s="29"/>
      <c r="D26" s="29"/>
      <c r="E26" s="31"/>
      <c r="F26" s="29"/>
      <c r="G26" s="31"/>
      <c r="H26" s="29"/>
      <c r="I26" s="155">
        <v>12</v>
      </c>
      <c r="J26" s="146" t="s">
        <v>68</v>
      </c>
      <c r="K26" s="29"/>
      <c r="L26" s="155">
        <f t="shared" si="5"/>
        <v>12</v>
      </c>
      <c r="M26" s="29"/>
      <c r="N26" s="29"/>
      <c r="O26" s="29"/>
      <c r="P26" s="29"/>
    </row>
    <row r="27" spans="1:16" x14ac:dyDescent="0.2">
      <c r="A27" s="29"/>
      <c r="B27" s="30"/>
      <c r="C27" s="31"/>
      <c r="D27" s="29"/>
      <c r="E27" s="31"/>
      <c r="F27" s="29"/>
      <c r="G27" s="31"/>
      <c r="H27" s="29"/>
      <c r="I27" s="155">
        <v>13</v>
      </c>
      <c r="J27" s="146" t="s">
        <v>69</v>
      </c>
      <c r="K27" s="29"/>
      <c r="L27" s="155">
        <f t="shared" si="5"/>
        <v>13</v>
      </c>
      <c r="M27" s="29"/>
      <c r="N27" s="29"/>
      <c r="O27" s="29"/>
      <c r="P27" s="29"/>
    </row>
    <row r="28" spans="1:16" x14ac:dyDescent="0.2">
      <c r="A28" s="29"/>
      <c r="B28" s="30"/>
      <c r="C28" s="31"/>
      <c r="D28" s="29"/>
      <c r="E28" s="31"/>
      <c r="F28" s="29"/>
      <c r="G28" s="31"/>
      <c r="H28" s="29"/>
      <c r="I28" s="155">
        <v>14</v>
      </c>
      <c r="J28" s="146" t="s">
        <v>55</v>
      </c>
      <c r="K28" s="29"/>
      <c r="L28" s="155">
        <f t="shared" si="5"/>
        <v>14</v>
      </c>
      <c r="M28" s="29"/>
      <c r="N28" s="29"/>
      <c r="O28" s="29"/>
      <c r="P28" s="29"/>
    </row>
    <row r="29" spans="1:16" x14ac:dyDescent="0.2">
      <c r="A29" s="29"/>
      <c r="B29" s="30"/>
      <c r="C29" s="31"/>
      <c r="D29" s="29"/>
      <c r="E29" s="31"/>
      <c r="F29" s="29"/>
      <c r="G29" s="31"/>
      <c r="H29" s="29"/>
      <c r="I29" s="155">
        <v>15</v>
      </c>
      <c r="J29" s="146" t="s">
        <v>70</v>
      </c>
      <c r="K29" s="29"/>
      <c r="L29" s="155">
        <f t="shared" si="5"/>
        <v>15</v>
      </c>
      <c r="M29" s="29"/>
      <c r="N29" s="29"/>
      <c r="O29" s="29"/>
      <c r="P29" s="29"/>
    </row>
    <row r="30" spans="1:16" x14ac:dyDescent="0.2">
      <c r="A30" s="29"/>
      <c r="B30" s="31"/>
      <c r="C30" s="31"/>
      <c r="D30" s="29"/>
      <c r="E30" s="31"/>
      <c r="F30" s="29"/>
      <c r="G30" s="31"/>
      <c r="H30" s="29"/>
      <c r="I30" s="155">
        <v>16</v>
      </c>
      <c r="J30" s="146" t="s">
        <v>71</v>
      </c>
      <c r="K30" s="29"/>
      <c r="L30" s="155">
        <f t="shared" si="5"/>
        <v>16</v>
      </c>
      <c r="M30" s="29"/>
      <c r="N30" s="29"/>
      <c r="O30" s="29"/>
      <c r="P30" s="29"/>
    </row>
    <row r="31" spans="1:16" x14ac:dyDescent="0.2">
      <c r="A31" s="29"/>
      <c r="B31" s="31"/>
      <c r="C31" s="31"/>
      <c r="D31" s="29"/>
      <c r="E31" s="31"/>
      <c r="F31" s="29"/>
      <c r="G31" s="31"/>
      <c r="H31" s="29"/>
      <c r="I31" s="155">
        <v>17</v>
      </c>
      <c r="J31" s="146" t="s">
        <v>72</v>
      </c>
      <c r="K31" s="29"/>
      <c r="L31" s="155">
        <f t="shared" si="5"/>
        <v>17</v>
      </c>
      <c r="M31" s="29"/>
      <c r="N31" s="29"/>
      <c r="O31" s="29"/>
      <c r="P31" s="29"/>
    </row>
    <row r="32" spans="1:16" x14ac:dyDescent="0.2">
      <c r="A32" s="29"/>
      <c r="B32" s="31"/>
      <c r="C32" s="31"/>
      <c r="D32" s="29"/>
      <c r="E32" s="31"/>
      <c r="F32" s="29"/>
      <c r="G32" s="31"/>
      <c r="H32" s="29"/>
      <c r="I32" s="155">
        <v>18</v>
      </c>
      <c r="J32" s="146" t="s">
        <v>73</v>
      </c>
      <c r="K32" s="29"/>
      <c r="L32" s="155">
        <f t="shared" si="5"/>
        <v>18</v>
      </c>
      <c r="M32" s="29"/>
      <c r="N32" s="29"/>
      <c r="O32" s="29"/>
      <c r="P32" s="29"/>
    </row>
    <row r="33" spans="1:16" x14ac:dyDescent="0.2">
      <c r="A33" s="29"/>
      <c r="B33" s="31"/>
      <c r="C33" s="31"/>
      <c r="D33" s="29"/>
      <c r="E33" s="31"/>
      <c r="F33" s="29"/>
      <c r="G33" s="31"/>
      <c r="H33" s="29"/>
      <c r="I33" s="155">
        <v>19</v>
      </c>
      <c r="J33" s="146" t="s">
        <v>74</v>
      </c>
      <c r="K33" s="29"/>
      <c r="L33" s="155">
        <f t="shared" si="5"/>
        <v>19</v>
      </c>
      <c r="M33" s="29"/>
      <c r="N33" s="29"/>
      <c r="O33" s="29"/>
      <c r="P33" s="29"/>
    </row>
    <row r="34" spans="1:16" x14ac:dyDescent="0.2">
      <c r="A34" s="29"/>
      <c r="B34" s="31"/>
      <c r="C34" s="31"/>
      <c r="D34" s="32"/>
      <c r="E34" s="31"/>
      <c r="F34" s="32"/>
      <c r="G34" s="31"/>
      <c r="H34" s="29"/>
      <c r="I34" s="155">
        <v>20</v>
      </c>
      <c r="J34" s="146" t="s">
        <v>75</v>
      </c>
      <c r="K34" s="29"/>
      <c r="L34" s="155">
        <f t="shared" si="5"/>
        <v>20</v>
      </c>
      <c r="M34" s="29"/>
      <c r="N34" s="29"/>
      <c r="O34" s="29"/>
      <c r="P34" s="29"/>
    </row>
    <row r="35" spans="1:16" x14ac:dyDescent="0.2">
      <c r="A35" s="29"/>
      <c r="B35" s="31"/>
      <c r="C35" s="31"/>
      <c r="D35" s="32"/>
      <c r="E35" s="31"/>
      <c r="F35" s="32"/>
      <c r="G35" s="31"/>
      <c r="H35" s="29"/>
      <c r="I35" s="155">
        <v>21</v>
      </c>
      <c r="J35" s="146" t="s">
        <v>76</v>
      </c>
      <c r="K35" s="29"/>
      <c r="L35" s="155">
        <f t="shared" si="5"/>
        <v>21</v>
      </c>
      <c r="M35" s="29"/>
      <c r="N35" s="29"/>
      <c r="O35" s="29"/>
      <c r="P35" s="29"/>
    </row>
    <row r="36" spans="1:16" x14ac:dyDescent="0.2">
      <c r="A36" s="29"/>
      <c r="B36" s="31"/>
      <c r="C36" s="31"/>
      <c r="D36" s="32"/>
      <c r="E36" s="31"/>
      <c r="F36" s="32"/>
      <c r="G36" s="31"/>
      <c r="H36" s="29"/>
      <c r="I36" s="155">
        <v>22</v>
      </c>
      <c r="J36" s="146" t="s">
        <v>77</v>
      </c>
      <c r="K36" s="29"/>
      <c r="L36" s="155">
        <f t="shared" si="5"/>
        <v>22</v>
      </c>
      <c r="M36" s="29"/>
      <c r="N36" s="29"/>
      <c r="O36" s="29"/>
      <c r="P36" s="29"/>
    </row>
    <row r="37" spans="1:16" x14ac:dyDescent="0.2">
      <c r="A37" s="29"/>
      <c r="B37" s="31"/>
      <c r="C37" s="31"/>
      <c r="D37" s="32"/>
      <c r="E37" s="31"/>
      <c r="F37" s="32"/>
      <c r="G37" s="31"/>
      <c r="H37" s="29"/>
      <c r="I37" s="155">
        <v>23</v>
      </c>
      <c r="J37" s="146" t="s">
        <v>78</v>
      </c>
      <c r="K37" s="29"/>
      <c r="L37" s="155">
        <f t="shared" si="5"/>
        <v>23</v>
      </c>
      <c r="M37" s="29"/>
      <c r="N37" s="29"/>
      <c r="O37" s="29"/>
      <c r="P37" s="29"/>
    </row>
    <row r="38" spans="1:16" x14ac:dyDescent="0.2">
      <c r="A38" s="29"/>
      <c r="B38" s="31"/>
      <c r="C38" s="31"/>
      <c r="D38" s="32"/>
      <c r="E38" s="31"/>
      <c r="F38" s="32"/>
      <c r="G38" s="31"/>
      <c r="H38" s="29"/>
      <c r="I38" s="155">
        <v>24</v>
      </c>
      <c r="J38" s="146" t="s">
        <v>52</v>
      </c>
      <c r="K38" s="29"/>
      <c r="L38" s="155">
        <f t="shared" si="5"/>
        <v>24</v>
      </c>
      <c r="M38" s="29"/>
      <c r="N38" s="29"/>
      <c r="O38" s="29"/>
      <c r="P38" s="29"/>
    </row>
    <row r="39" spans="1:16" x14ac:dyDescent="0.2">
      <c r="A39" s="29"/>
      <c r="B39" s="31"/>
      <c r="C39" s="31"/>
      <c r="D39" s="32"/>
      <c r="E39" s="31"/>
      <c r="F39" s="32"/>
      <c r="G39" s="31"/>
      <c r="H39" s="29"/>
      <c r="I39" s="155">
        <v>25</v>
      </c>
      <c r="J39" s="146" t="s">
        <v>54</v>
      </c>
      <c r="K39" s="29"/>
      <c r="L39" s="155">
        <f t="shared" si="5"/>
        <v>25</v>
      </c>
      <c r="M39" s="29"/>
      <c r="N39" s="29"/>
      <c r="O39" s="29"/>
      <c r="P39" s="29"/>
    </row>
    <row r="40" spans="1:16" x14ac:dyDescent="0.2">
      <c r="A40" s="29"/>
      <c r="B40" s="31"/>
      <c r="C40" s="31"/>
      <c r="D40" s="29"/>
      <c r="E40" s="31"/>
      <c r="F40" s="29"/>
      <c r="G40" s="31"/>
      <c r="H40" s="29"/>
      <c r="I40" s="155">
        <v>26</v>
      </c>
      <c r="J40" s="146" t="s">
        <v>79</v>
      </c>
      <c r="K40" s="29"/>
      <c r="L40" s="155">
        <f t="shared" si="5"/>
        <v>26</v>
      </c>
      <c r="M40" s="29"/>
      <c r="N40" s="29"/>
      <c r="O40" s="29"/>
      <c r="P40" s="29"/>
    </row>
    <row r="41" spans="1:16" x14ac:dyDescent="0.2">
      <c r="A41" s="29"/>
      <c r="B41" s="31"/>
      <c r="C41" s="31"/>
      <c r="D41" s="29"/>
      <c r="E41" s="31"/>
      <c r="F41" s="29"/>
      <c r="G41" s="31"/>
      <c r="H41" s="29"/>
      <c r="I41" s="155">
        <v>27</v>
      </c>
      <c r="J41" s="146" t="s">
        <v>80</v>
      </c>
      <c r="K41" s="29"/>
      <c r="L41" s="155">
        <f t="shared" si="5"/>
        <v>27</v>
      </c>
      <c r="M41" s="29"/>
      <c r="N41" s="29"/>
      <c r="O41" s="29"/>
      <c r="P41" s="29"/>
    </row>
    <row r="42" spans="1:16" x14ac:dyDescent="0.2">
      <c r="A42" s="29"/>
      <c r="B42" s="31"/>
      <c r="C42" s="31"/>
      <c r="D42" s="29"/>
      <c r="E42" s="31"/>
      <c r="F42" s="29"/>
      <c r="G42" s="31"/>
      <c r="H42" s="29"/>
      <c r="I42" s="155">
        <v>28</v>
      </c>
      <c r="J42" s="146" t="s">
        <v>81</v>
      </c>
      <c r="K42" s="29"/>
      <c r="L42" s="155">
        <f t="shared" si="5"/>
        <v>28</v>
      </c>
      <c r="M42" s="29"/>
      <c r="N42" s="29"/>
      <c r="O42" s="29"/>
      <c r="P42" s="29"/>
    </row>
    <row r="43" spans="1:16" x14ac:dyDescent="0.2">
      <c r="A43" s="29"/>
      <c r="B43" s="31"/>
      <c r="C43" s="31"/>
      <c r="D43" s="29"/>
      <c r="E43" s="31"/>
      <c r="F43" s="29"/>
      <c r="G43" s="31"/>
      <c r="H43" s="29"/>
      <c r="I43" s="155">
        <v>29</v>
      </c>
      <c r="J43" s="146" t="s">
        <v>56</v>
      </c>
      <c r="K43" s="29"/>
      <c r="L43" s="155">
        <f t="shared" si="5"/>
        <v>29</v>
      </c>
      <c r="M43" s="29"/>
      <c r="N43" s="29"/>
      <c r="O43" s="29"/>
      <c r="P43" s="29"/>
    </row>
    <row r="44" spans="1:16" x14ac:dyDescent="0.2">
      <c r="A44" s="29"/>
      <c r="B44" s="31"/>
      <c r="C44" s="31"/>
      <c r="D44" s="29"/>
      <c r="E44" s="31"/>
      <c r="F44" s="29"/>
      <c r="G44" s="31"/>
      <c r="H44" s="29"/>
      <c r="I44" s="155">
        <v>30</v>
      </c>
      <c r="J44" s="146" t="s">
        <v>57</v>
      </c>
      <c r="K44" s="29"/>
      <c r="L44" s="155">
        <f t="shared" si="5"/>
        <v>30</v>
      </c>
      <c r="M44" s="29"/>
      <c r="N44" s="29"/>
      <c r="O44" s="29"/>
      <c r="P44" s="29"/>
    </row>
    <row r="45" spans="1:16" x14ac:dyDescent="0.2">
      <c r="A45" s="29"/>
      <c r="B45" s="31"/>
      <c r="C45" s="31"/>
      <c r="D45" s="29"/>
      <c r="E45" s="31"/>
      <c r="F45" s="29"/>
      <c r="G45" s="31"/>
      <c r="H45" s="29"/>
      <c r="I45" s="155">
        <v>31</v>
      </c>
      <c r="J45" s="146" t="s">
        <v>82</v>
      </c>
      <c r="K45" s="146"/>
      <c r="L45" s="155">
        <f t="shared" si="5"/>
        <v>31</v>
      </c>
      <c r="M45" s="29"/>
      <c r="N45" s="29"/>
      <c r="O45" s="29"/>
      <c r="P45" s="29"/>
    </row>
    <row r="46" spans="1:16" x14ac:dyDescent="0.2">
      <c r="A46" s="29"/>
      <c r="B46" s="31"/>
      <c r="C46" s="31"/>
      <c r="D46" s="29"/>
      <c r="E46" s="31"/>
      <c r="F46" s="29"/>
      <c r="G46" s="31"/>
      <c r="H46" s="29"/>
      <c r="I46" s="155">
        <v>32</v>
      </c>
      <c r="J46" s="146" t="s">
        <v>83</v>
      </c>
      <c r="K46" s="146"/>
      <c r="L46" s="155">
        <f t="shared" si="5"/>
        <v>32</v>
      </c>
      <c r="M46" s="29"/>
      <c r="N46" s="29"/>
      <c r="O46" s="29"/>
      <c r="P46" s="29"/>
    </row>
    <row r="47" spans="1:16" x14ac:dyDescent="0.2">
      <c r="A47" s="29"/>
      <c r="B47" s="31"/>
      <c r="C47" s="31"/>
      <c r="D47" s="29"/>
      <c r="E47" s="31"/>
      <c r="F47" s="29"/>
      <c r="G47" s="31"/>
      <c r="H47" s="29"/>
      <c r="I47" s="155">
        <v>33</v>
      </c>
      <c r="J47" s="146" t="s">
        <v>84</v>
      </c>
      <c r="K47" s="146"/>
      <c r="L47" s="155">
        <f t="shared" si="5"/>
        <v>33</v>
      </c>
      <c r="M47" s="29"/>
      <c r="N47" s="29"/>
      <c r="O47" s="29"/>
      <c r="P47" s="29"/>
    </row>
    <row r="48" spans="1:16" x14ac:dyDescent="0.2">
      <c r="A48" s="29"/>
      <c r="B48" s="31"/>
      <c r="C48" s="31"/>
      <c r="D48" s="29"/>
      <c r="E48" s="31"/>
      <c r="F48" s="29"/>
      <c r="G48" s="31"/>
      <c r="H48" s="29"/>
      <c r="I48" s="155">
        <v>34</v>
      </c>
      <c r="J48" s="146" t="s">
        <v>61</v>
      </c>
      <c r="K48" s="146"/>
      <c r="L48" s="155">
        <f t="shared" si="5"/>
        <v>34</v>
      </c>
      <c r="M48" s="29"/>
      <c r="N48" s="29"/>
      <c r="O48" s="29"/>
      <c r="P48" s="29"/>
    </row>
    <row r="49" spans="1:16" x14ac:dyDescent="0.2">
      <c r="A49" s="29"/>
      <c r="B49" s="31"/>
      <c r="C49" s="31"/>
      <c r="D49" s="29"/>
      <c r="E49" s="31"/>
      <c r="F49" s="29"/>
      <c r="G49" s="31"/>
      <c r="H49" s="29"/>
      <c r="I49" s="155">
        <v>35</v>
      </c>
      <c r="J49" s="146" t="s">
        <v>85</v>
      </c>
      <c r="K49" s="146"/>
      <c r="L49" s="155">
        <f t="shared" si="5"/>
        <v>35</v>
      </c>
      <c r="M49" s="29"/>
      <c r="N49" s="29"/>
      <c r="O49" s="29"/>
      <c r="P49" s="29"/>
    </row>
    <row r="50" spans="1:16" x14ac:dyDescent="0.2">
      <c r="A50" s="29"/>
      <c r="B50" s="31"/>
      <c r="C50" s="31"/>
      <c r="D50" s="29"/>
      <c r="E50" s="31"/>
      <c r="F50" s="29"/>
      <c r="G50" s="31"/>
      <c r="H50" s="29"/>
      <c r="I50" s="155">
        <v>36</v>
      </c>
      <c r="J50" s="146" t="s">
        <v>86</v>
      </c>
      <c r="K50" s="146"/>
      <c r="L50" s="155">
        <f t="shared" si="5"/>
        <v>36</v>
      </c>
      <c r="M50" s="29"/>
      <c r="N50" s="29"/>
      <c r="O50" s="29"/>
      <c r="P50" s="29"/>
    </row>
    <row r="51" spans="1:16" x14ac:dyDescent="0.2">
      <c r="A51" s="29"/>
      <c r="I51" s="117"/>
    </row>
  </sheetData>
  <mergeCells count="1">
    <mergeCell ref="I14:J14"/>
  </mergeCells>
  <phoneticPr fontId="0" type="noConversion"/>
  <dataValidations xWindow="651" yWindow="290" count="2">
    <dataValidation type="list" allowBlank="1" showInputMessage="1" showErrorMessage="1" promptTitle="Select Runner" prompt="from list" sqref="J13">
      <formula1>$D$13:$D$30</formula1>
    </dataValidation>
    <dataValidation type="list" allowBlank="1" showInputMessage="1" showErrorMessage="1" promptTitle="Select Runner" prompt="from list" sqref="J14">
      <formula1>$D$16:$D$32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CH93"/>
  <sheetViews>
    <sheetView tabSelected="1" zoomScale="85" zoomScaleNormal="85" workbookViewId="0">
      <pane xSplit="7" topLeftCell="H1" activePane="topRight" state="frozen"/>
      <selection pane="topRight"/>
    </sheetView>
  </sheetViews>
  <sheetFormatPr defaultRowHeight="12.75" x14ac:dyDescent="0.2"/>
  <cols>
    <col min="1" max="1" width="29.7109375" style="52" bestFit="1" customWidth="1"/>
    <col min="2" max="2" width="11.85546875" style="53" customWidth="1"/>
    <col min="3" max="3" width="4.7109375" style="54" customWidth="1"/>
    <col min="4" max="4" width="1.7109375" style="55" customWidth="1"/>
    <col min="5" max="5" width="10.7109375" style="53" customWidth="1"/>
    <col min="6" max="6" width="4.7109375" style="53" customWidth="1"/>
    <col min="7" max="7" width="1.7109375" style="55" customWidth="1"/>
    <col min="8" max="8" width="15.7109375" style="55" customWidth="1"/>
    <col min="9" max="9" width="7.7109375" style="58" bestFit="1" customWidth="1"/>
    <col min="10" max="10" width="5.7109375" style="55" customWidth="1"/>
    <col min="11" max="11" width="5.7109375" style="57" customWidth="1"/>
    <col min="12" max="12" width="1.7109375" style="55" customWidth="1"/>
    <col min="13" max="13" width="17.42578125" style="55" customWidth="1"/>
    <col min="14" max="14" width="6.42578125" style="58" bestFit="1" customWidth="1"/>
    <col min="15" max="15" width="5.7109375" style="55" customWidth="1"/>
    <col min="16" max="16" width="5.7109375" style="57" customWidth="1"/>
    <col min="17" max="17" width="1.7109375" style="55" customWidth="1"/>
    <col min="18" max="18" width="15.7109375" style="55" customWidth="1"/>
    <col min="19" max="19" width="6.42578125" style="58" bestFit="1" customWidth="1"/>
    <col min="20" max="20" width="5.7109375" style="55" customWidth="1"/>
    <col min="21" max="21" width="5.7109375" style="57" customWidth="1"/>
    <col min="22" max="22" width="1.7109375" style="55" customWidth="1"/>
    <col min="23" max="23" width="16.85546875" style="55" customWidth="1"/>
    <col min="24" max="24" width="7.7109375" style="58" bestFit="1" customWidth="1"/>
    <col min="25" max="25" width="5.7109375" style="55" customWidth="1"/>
    <col min="26" max="26" width="5.7109375" style="57" customWidth="1"/>
    <col min="27" max="27" width="1.7109375" style="55" customWidth="1"/>
    <col min="28" max="28" width="15.7109375" style="55" customWidth="1"/>
    <col min="29" max="29" width="6.42578125" style="58" bestFit="1" customWidth="1"/>
    <col min="30" max="30" width="5.7109375" style="55" customWidth="1"/>
    <col min="31" max="31" width="5.7109375" style="57" customWidth="1"/>
    <col min="32" max="32" width="1.7109375" style="55" customWidth="1"/>
    <col min="33" max="33" width="16.28515625" style="55" customWidth="1"/>
    <col min="34" max="34" width="7.42578125" style="58" bestFit="1" customWidth="1"/>
    <col min="35" max="35" width="5.7109375" style="55" customWidth="1"/>
    <col min="36" max="36" width="5.7109375" style="57" customWidth="1"/>
    <col min="37" max="37" width="1.7109375" style="55" customWidth="1"/>
    <col min="38" max="38" width="15.7109375" style="55" customWidth="1"/>
    <col min="39" max="39" width="6.42578125" style="58" bestFit="1" customWidth="1"/>
    <col min="40" max="40" width="5.7109375" style="55" customWidth="1"/>
    <col min="41" max="41" width="5.7109375" style="57" customWidth="1"/>
    <col min="42" max="42" width="1.7109375" style="55" customWidth="1"/>
    <col min="43" max="43" width="17" style="55" customWidth="1"/>
    <col min="44" max="44" width="6.42578125" style="58" customWidth="1"/>
    <col min="45" max="45" width="5.7109375" style="55" customWidth="1"/>
    <col min="46" max="46" width="5.7109375" style="57" customWidth="1"/>
    <col min="47" max="47" width="1.7109375" style="55" customWidth="1"/>
    <col min="48" max="48" width="15.7109375" style="55" customWidth="1"/>
    <col min="49" max="49" width="5.7109375" style="58" customWidth="1"/>
    <col min="50" max="50" width="5.7109375" style="55" customWidth="1"/>
    <col min="51" max="51" width="5.7109375" style="57" customWidth="1"/>
    <col min="52" max="52" width="1.7109375" style="55" customWidth="1"/>
    <col min="53" max="53" width="16.7109375" style="55" customWidth="1"/>
    <col min="54" max="54" width="6.7109375" style="58" customWidth="1"/>
    <col min="55" max="55" width="6.7109375" style="55" customWidth="1"/>
    <col min="56" max="56" width="6.7109375" style="57" customWidth="1"/>
    <col min="57" max="57" width="1.7109375" style="55" customWidth="1"/>
    <col min="58" max="58" width="16.7109375" style="55" customWidth="1"/>
    <col min="59" max="59" width="6.7109375" style="58" customWidth="1"/>
    <col min="60" max="60" width="6.7109375" style="55" customWidth="1"/>
    <col min="61" max="61" width="6.7109375" style="57" customWidth="1"/>
    <col min="62" max="62" width="1.7109375" style="55" customWidth="1"/>
    <col min="63" max="63" width="16.7109375" style="55" customWidth="1"/>
    <col min="64" max="64" width="6.7109375" style="58" customWidth="1"/>
    <col min="65" max="65" width="6.7109375" style="55" customWidth="1"/>
    <col min="66" max="66" width="6.7109375" style="57" customWidth="1"/>
    <col min="67" max="67" width="1.7109375" style="55" customWidth="1"/>
    <col min="68" max="68" width="16.7109375" style="55" customWidth="1"/>
    <col min="69" max="69" width="6.7109375" style="58" customWidth="1"/>
    <col min="70" max="70" width="6.7109375" style="55" customWidth="1"/>
    <col min="71" max="71" width="6.7109375" style="57" customWidth="1"/>
    <col min="72" max="72" width="1.7109375" style="55" customWidth="1"/>
    <col min="73" max="73" width="16.7109375" style="55" customWidth="1"/>
    <col min="74" max="74" width="6.7109375" style="58" customWidth="1"/>
    <col min="75" max="75" width="6.7109375" style="55" customWidth="1"/>
    <col min="76" max="76" width="6.7109375" style="57" customWidth="1"/>
    <col min="77" max="77" width="1.7109375" style="55" customWidth="1"/>
    <col min="78" max="78" width="16.7109375" style="55" customWidth="1"/>
    <col min="79" max="79" width="6.7109375" style="58" customWidth="1"/>
    <col min="80" max="80" width="6.7109375" style="55" customWidth="1"/>
    <col min="81" max="81" width="6.7109375" style="57" customWidth="1"/>
    <col min="82" max="82" width="1.7109375" style="55" customWidth="1"/>
    <col min="83" max="83" width="16.7109375" style="55" customWidth="1"/>
    <col min="84" max="84" width="6.7109375" style="58" customWidth="1"/>
    <col min="85" max="85" width="6.7109375" style="55" customWidth="1"/>
    <col min="86" max="86" width="6.7109375" style="57" customWidth="1"/>
    <col min="87" max="87" width="1.7109375" style="55" customWidth="1"/>
    <col min="88" max="16384" width="9.140625" style="55"/>
  </cols>
  <sheetData>
    <row r="2" spans="1:86" s="74" customFormat="1" ht="20.100000000000001" customHeight="1" x14ac:dyDescent="0.2">
      <c r="A2" s="73"/>
      <c r="B2" s="40"/>
      <c r="C2" s="41"/>
      <c r="E2" s="40"/>
      <c r="F2" s="40"/>
      <c r="H2" s="60" t="s">
        <v>5</v>
      </c>
      <c r="I2" s="65">
        <v>3.39</v>
      </c>
      <c r="J2" s="66" t="s">
        <v>9</v>
      </c>
      <c r="K2" s="81" t="s">
        <v>11</v>
      </c>
      <c r="M2" s="60" t="s">
        <v>12</v>
      </c>
      <c r="N2" s="65">
        <f>Dist1</f>
        <v>3.39</v>
      </c>
      <c r="O2" s="66" t="s">
        <v>9</v>
      </c>
      <c r="P2" s="81" t="s">
        <v>11</v>
      </c>
      <c r="R2" s="60" t="s">
        <v>13</v>
      </c>
      <c r="S2" s="65">
        <f>Dist1</f>
        <v>3.39</v>
      </c>
      <c r="T2" s="66" t="s">
        <v>9</v>
      </c>
      <c r="U2" s="81" t="s">
        <v>11</v>
      </c>
      <c r="W2" s="60" t="s">
        <v>14</v>
      </c>
      <c r="X2" s="65">
        <f>Dist1</f>
        <v>3.39</v>
      </c>
      <c r="Y2" s="66" t="s">
        <v>9</v>
      </c>
      <c r="Z2" s="81" t="s">
        <v>11</v>
      </c>
      <c r="AB2" s="60" t="s">
        <v>15</v>
      </c>
      <c r="AC2" s="65">
        <v>4</v>
      </c>
      <c r="AD2" s="66" t="s">
        <v>9</v>
      </c>
      <c r="AE2" s="81" t="s">
        <v>11</v>
      </c>
      <c r="AG2" s="60" t="s">
        <v>16</v>
      </c>
      <c r="AH2" s="65">
        <v>4.2699999999999996</v>
      </c>
      <c r="AI2" s="66" t="s">
        <v>9</v>
      </c>
      <c r="AJ2" s="81" t="s">
        <v>11</v>
      </c>
      <c r="AL2" s="60" t="s">
        <v>17</v>
      </c>
      <c r="AM2" s="65">
        <v>3.2</v>
      </c>
      <c r="AN2" s="66" t="s">
        <v>9</v>
      </c>
      <c r="AO2" s="81" t="s">
        <v>11</v>
      </c>
      <c r="AQ2" s="60" t="s">
        <v>18</v>
      </c>
      <c r="AR2" s="65">
        <v>5.13</v>
      </c>
      <c r="AS2" s="66" t="s">
        <v>9</v>
      </c>
      <c r="AT2" s="81" t="s">
        <v>11</v>
      </c>
      <c r="AV2" s="40"/>
      <c r="AW2" s="43"/>
      <c r="AX2" s="44"/>
      <c r="AY2" s="45"/>
      <c r="BB2" s="75"/>
      <c r="BD2" s="76"/>
      <c r="BG2" s="75"/>
      <c r="BI2" s="76"/>
      <c r="BL2" s="75"/>
      <c r="BN2" s="76"/>
      <c r="BQ2" s="75"/>
      <c r="BS2" s="76"/>
      <c r="BV2" s="75"/>
      <c r="BX2" s="76"/>
      <c r="CA2" s="75"/>
      <c r="CC2" s="76"/>
      <c r="CF2" s="75"/>
      <c r="CH2" s="76"/>
    </row>
    <row r="3" spans="1:86" s="74" customFormat="1" ht="20.100000000000001" customHeight="1" x14ac:dyDescent="0.2">
      <c r="A3" s="59" t="s">
        <v>0</v>
      </c>
      <c r="B3" s="60" t="s">
        <v>19</v>
      </c>
      <c r="C3" s="61" t="s">
        <v>10</v>
      </c>
      <c r="E3" s="60" t="s">
        <v>20</v>
      </c>
      <c r="F3" s="61" t="s">
        <v>10</v>
      </c>
      <c r="H3" s="67" t="s">
        <v>6</v>
      </c>
      <c r="I3" s="68" t="s">
        <v>7</v>
      </c>
      <c r="J3" s="82" t="s">
        <v>8</v>
      </c>
      <c r="K3" s="83" t="s">
        <v>10</v>
      </c>
      <c r="M3" s="67" t="s">
        <v>6</v>
      </c>
      <c r="N3" s="68" t="s">
        <v>7</v>
      </c>
      <c r="O3" s="82" t="s">
        <v>8</v>
      </c>
      <c r="P3" s="83" t="s">
        <v>10</v>
      </c>
      <c r="R3" s="67" t="s">
        <v>6</v>
      </c>
      <c r="S3" s="68" t="s">
        <v>7</v>
      </c>
      <c r="T3" s="82" t="s">
        <v>8</v>
      </c>
      <c r="U3" s="83" t="s">
        <v>10</v>
      </c>
      <c r="W3" s="67" t="s">
        <v>6</v>
      </c>
      <c r="X3" s="68" t="s">
        <v>7</v>
      </c>
      <c r="Y3" s="82" t="s">
        <v>8</v>
      </c>
      <c r="Z3" s="83" t="s">
        <v>10</v>
      </c>
      <c r="AB3" s="67" t="s">
        <v>6</v>
      </c>
      <c r="AC3" s="68" t="s">
        <v>7</v>
      </c>
      <c r="AD3" s="82" t="s">
        <v>8</v>
      </c>
      <c r="AE3" s="83" t="s">
        <v>10</v>
      </c>
      <c r="AG3" s="67" t="s">
        <v>6</v>
      </c>
      <c r="AH3" s="68" t="s">
        <v>7</v>
      </c>
      <c r="AI3" s="82" t="s">
        <v>8</v>
      </c>
      <c r="AJ3" s="83" t="s">
        <v>10</v>
      </c>
      <c r="AL3" s="67" t="s">
        <v>6</v>
      </c>
      <c r="AM3" s="68" t="s">
        <v>7</v>
      </c>
      <c r="AN3" s="82" t="s">
        <v>8</v>
      </c>
      <c r="AO3" s="83" t="s">
        <v>10</v>
      </c>
      <c r="AQ3" s="67" t="s">
        <v>6</v>
      </c>
      <c r="AR3" s="68" t="s">
        <v>7</v>
      </c>
      <c r="AS3" s="82" t="s">
        <v>8</v>
      </c>
      <c r="AT3" s="83" t="s">
        <v>10</v>
      </c>
      <c r="AV3" s="46"/>
      <c r="AW3" s="47"/>
      <c r="AX3" s="45"/>
      <c r="AY3" s="45"/>
      <c r="BB3" s="75"/>
      <c r="BD3" s="76"/>
      <c r="BG3" s="75"/>
      <c r="BI3" s="76"/>
      <c r="BL3" s="75"/>
      <c r="BN3" s="76"/>
      <c r="BQ3" s="75"/>
      <c r="BS3" s="76"/>
      <c r="BV3" s="75"/>
      <c r="BX3" s="76"/>
      <c r="CA3" s="75"/>
      <c r="CC3" s="76"/>
      <c r="CF3" s="75"/>
      <c r="CH3" s="76"/>
    </row>
    <row r="4" spans="1:86" s="42" customFormat="1" ht="20.100000000000001" customHeight="1" x14ac:dyDescent="0.2">
      <c r="A4" s="62" t="str">
        <f>'Team Selection'!B3</f>
        <v>Big Trouble in Little Tokyo</v>
      </c>
      <c r="B4" s="63">
        <f>SUM(E4,E16)</f>
        <v>0.17508101851851854</v>
      </c>
      <c r="C4" s="64">
        <f>RANK(B4,B$4:B$12,2)</f>
        <v>2</v>
      </c>
      <c r="E4" s="63">
        <f t="shared" ref="E4" si="0">SUM(I4,N4,S4,X4,AC4,AH4,AM4,AR4)</f>
        <v>8.1944444444444459E-2</v>
      </c>
      <c r="F4" s="64">
        <f>RANK(E4,E$4:E$12,2)</f>
        <v>2</v>
      </c>
      <c r="H4" s="164" t="s">
        <v>75</v>
      </c>
      <c r="I4" s="70">
        <v>9.0856481481481483E-3</v>
      </c>
      <c r="J4" s="25">
        <f t="shared" ref="J4" si="1">I4/Dist1</f>
        <v>2.6801321970938491E-3</v>
      </c>
      <c r="K4" s="26">
        <f>IF(I4&gt;0,RANK(I4,$H$58:$H$93,1),)</f>
        <v>12</v>
      </c>
      <c r="M4" s="164" t="s">
        <v>73</v>
      </c>
      <c r="N4" s="70">
        <v>1.005787037037037E-2</v>
      </c>
      <c r="O4" s="25">
        <f t="shared" ref="O4" si="2">N4/Dist1</f>
        <v>2.9669234130886043E-3</v>
      </c>
      <c r="P4" s="26">
        <f>IF(N4&gt;0,RANK(N4,$H$58:$H$93,1),)</f>
        <v>31</v>
      </c>
      <c r="R4" s="164" t="s">
        <v>86</v>
      </c>
      <c r="S4" s="70">
        <v>1.0798611111111111E-2</v>
      </c>
      <c r="T4" s="25">
        <f t="shared" ref="T4" si="3">S4/Dist2</f>
        <v>3.1854310062274663E-3</v>
      </c>
      <c r="U4" s="26">
        <f>IF(S4&gt;0,RANK(S4,$H$58:$H$93,1),)</f>
        <v>35</v>
      </c>
      <c r="W4" s="164" t="s">
        <v>51</v>
      </c>
      <c r="X4" s="70">
        <v>7.789351851851852E-3</v>
      </c>
      <c r="Y4" s="25">
        <f t="shared" ref="Y4" si="4">X4/Dist3</f>
        <v>2.2977439091008411E-3</v>
      </c>
      <c r="Z4" s="26">
        <f>IF(X4&gt;0,RANK(X4,$H$58:$H$93,1),)</f>
        <v>1</v>
      </c>
      <c r="AB4" s="69" t="s">
        <v>75</v>
      </c>
      <c r="AC4" s="70">
        <v>1.1944444444444445E-2</v>
      </c>
      <c r="AD4" s="25">
        <f t="shared" ref="AD4" si="5">AC4/Dist4</f>
        <v>2.9861111111111113E-3</v>
      </c>
      <c r="AE4" s="26">
        <f>IF(AC4&gt;0,RANK(AC4,AC$4:AC$12,1),)</f>
        <v>4</v>
      </c>
      <c r="AG4" s="69" t="s">
        <v>73</v>
      </c>
      <c r="AH4" s="70">
        <v>1.1331018518518518E-2</v>
      </c>
      <c r="AI4" s="25">
        <f t="shared" ref="AI4" si="6">AH4/Dist5</f>
        <v>2.6536343134703792E-3</v>
      </c>
      <c r="AJ4" s="26">
        <f>IF(AH4&gt;0,RANK(AH4,AH$4:AH$12,1),)</f>
        <v>7</v>
      </c>
      <c r="AL4" s="69" t="s">
        <v>86</v>
      </c>
      <c r="AM4" s="70">
        <v>8.518518518518519E-3</v>
      </c>
      <c r="AN4" s="25">
        <f t="shared" ref="AN4" si="7">AM4/Dist6</f>
        <v>2.662037037037037E-3</v>
      </c>
      <c r="AO4" s="26">
        <f>IF(AM4&gt;0,RANK(AM4,AM$4:AM$12,1),)</f>
        <v>8</v>
      </c>
      <c r="AQ4" s="69" t="s">
        <v>51</v>
      </c>
      <c r="AR4" s="70">
        <v>1.2418981481481482E-2</v>
      </c>
      <c r="AS4" s="25">
        <f t="shared" ref="AS4" si="8">AR4/Dist7</f>
        <v>2.420854089957404E-3</v>
      </c>
      <c r="AT4" s="26">
        <f>IF(AR4&gt;0,RANK(AR4,AR$4:AR$12,1),)</f>
        <v>1</v>
      </c>
      <c r="AV4" s="48"/>
      <c r="AW4" s="49"/>
      <c r="AX4" s="50"/>
      <c r="AY4" s="51"/>
    </row>
    <row r="5" spans="1:86" s="42" customFormat="1" ht="20.100000000000001" customHeight="1" x14ac:dyDescent="0.2">
      <c r="A5" s="62" t="str">
        <f>'Team Selection'!B4</f>
        <v>Maroon 4</v>
      </c>
      <c r="B5" s="63">
        <f t="shared" ref="B5:B12" si="9">SUM(E5,E17)</f>
        <v>0.17778935185185185</v>
      </c>
      <c r="C5" s="64">
        <f t="shared" ref="C5:C12" si="10">RANK(B5,B$4:B$12,2)</f>
        <v>6</v>
      </c>
      <c r="E5" s="63">
        <f t="shared" ref="E5:E12" si="11">SUM(I5,N5,S5,X5,AC5,AH5,AM5,AR5)</f>
        <v>8.2962962962962961E-2</v>
      </c>
      <c r="F5" s="64">
        <f t="shared" ref="F5:F12" si="12">RANK(E5,E$4:E$12,2)</f>
        <v>4</v>
      </c>
      <c r="H5" s="164" t="s">
        <v>71</v>
      </c>
      <c r="I5" s="70">
        <v>8.9120370370370378E-3</v>
      </c>
      <c r="J5" s="25">
        <f t="shared" ref="J5:J12" si="13">I5/Dist1</f>
        <v>2.6289194799519284E-3</v>
      </c>
      <c r="K5" s="26">
        <f t="shared" ref="K5:K12" si="14">IF(I5&gt;0,RANK(I5,$H$58:$H$93,1),)</f>
        <v>5</v>
      </c>
      <c r="M5" s="164" t="s">
        <v>74</v>
      </c>
      <c r="N5" s="70">
        <v>9.1782407407407403E-3</v>
      </c>
      <c r="O5" s="25">
        <f t="shared" ref="O5:O12" si="15">N5/Dist1</f>
        <v>2.7074456462362066E-3</v>
      </c>
      <c r="P5" s="26">
        <f t="shared" ref="P5:P12" si="16">IF(N5&gt;0,RANK(N5,$H$58:$H$93,1),)</f>
        <v>18</v>
      </c>
      <c r="R5" s="164" t="s">
        <v>85</v>
      </c>
      <c r="S5" s="70">
        <v>1.1238425925925928E-2</v>
      </c>
      <c r="T5" s="25">
        <f t="shared" ref="T5:T12" si="17">S5/Dist2</f>
        <v>3.315169889653666E-3</v>
      </c>
      <c r="U5" s="26">
        <f t="shared" ref="U5:U12" si="18">IF(S5&gt;0,RANK(S5,$H$58:$H$93,1),)</f>
        <v>36</v>
      </c>
      <c r="W5" s="164" t="s">
        <v>62</v>
      </c>
      <c r="X5" s="70">
        <v>8.6689814814814806E-3</v>
      </c>
      <c r="Y5" s="25">
        <f t="shared" ref="Y5:Y12" si="19">X5/Dist3</f>
        <v>2.5572216759532388E-3</v>
      </c>
      <c r="Z5" s="26">
        <f t="shared" ref="Z5:Z12" si="20">IF(X5&gt;0,RANK(X5,$H$58:$H$93,1),)</f>
        <v>3</v>
      </c>
      <c r="AB5" s="69" t="s">
        <v>71</v>
      </c>
      <c r="AC5" s="70">
        <v>1.1412037037037038E-2</v>
      </c>
      <c r="AD5" s="25">
        <f t="shared" ref="AD5:AD12" si="21">AC5/Dist4</f>
        <v>2.8530092592592596E-3</v>
      </c>
      <c r="AE5" s="26">
        <f t="shared" ref="AE5:AE12" si="22">IF(AC5&gt;0,RANK(AC5,AC$4:AC$12,1),)</f>
        <v>1</v>
      </c>
      <c r="AG5" s="69" t="s">
        <v>74</v>
      </c>
      <c r="AH5" s="70">
        <v>1.0578703703703703E-2</v>
      </c>
      <c r="AI5" s="25">
        <f t="shared" ref="AI5:AI12" si="23">AH5/Dist5</f>
        <v>2.4774481741694858E-3</v>
      </c>
      <c r="AJ5" s="26">
        <f t="shared" ref="AJ5:AJ12" si="24">IF(AH5&gt;0,RANK(AH5,AH$4:AH$12,1),)</f>
        <v>3</v>
      </c>
      <c r="AL5" s="69" t="s">
        <v>85</v>
      </c>
      <c r="AM5" s="70">
        <v>8.8078703703703704E-3</v>
      </c>
      <c r="AN5" s="25">
        <f t="shared" ref="AN5:AN12" si="25">AM5/Dist6</f>
        <v>2.7524594907407406E-3</v>
      </c>
      <c r="AO5" s="26">
        <f t="shared" ref="AO5:AO12" si="26">IF(AM5&gt;0,RANK(AM5,AM$4:AM$12,1),)</f>
        <v>9</v>
      </c>
      <c r="AQ5" s="69" t="s">
        <v>62</v>
      </c>
      <c r="AR5" s="70">
        <v>1.4166666666666666E-2</v>
      </c>
      <c r="AS5" s="25">
        <f t="shared" ref="AS5:AS12" si="27">AR5/Dist7</f>
        <v>2.7615334632878491E-3</v>
      </c>
      <c r="AT5" s="26">
        <f t="shared" ref="AT5:AT12" si="28">IF(AR5&gt;0,RANK(AR5,AR$4:AR$12,1),)</f>
        <v>3</v>
      </c>
      <c r="AV5" s="48"/>
      <c r="AW5" s="49"/>
      <c r="AX5" s="50"/>
      <c r="AY5" s="51"/>
    </row>
    <row r="6" spans="1:86" s="42" customFormat="1" ht="20.100000000000001" customHeight="1" x14ac:dyDescent="0.2">
      <c r="A6" s="62" t="str">
        <f>'Team Selection'!B5</f>
        <v>Slips is a Loser</v>
      </c>
      <c r="B6" s="63">
        <f t="shared" si="9"/>
        <v>0.17538194444444444</v>
      </c>
      <c r="C6" s="64">
        <f t="shared" si="10"/>
        <v>3</v>
      </c>
      <c r="E6" s="63">
        <f t="shared" si="11"/>
        <v>8.1851851851851842E-2</v>
      </c>
      <c r="F6" s="64">
        <f t="shared" si="12"/>
        <v>1</v>
      </c>
      <c r="H6" s="164" t="s">
        <v>72</v>
      </c>
      <c r="I6" s="70">
        <v>9.1435185185185178E-3</v>
      </c>
      <c r="J6" s="25">
        <f t="shared" si="13"/>
        <v>2.6972031028078222E-3</v>
      </c>
      <c r="K6" s="26">
        <f t="shared" si="14"/>
        <v>17</v>
      </c>
      <c r="M6" s="164" t="s">
        <v>77</v>
      </c>
      <c r="N6" s="70">
        <v>9.2939814814814812E-3</v>
      </c>
      <c r="O6" s="25">
        <f t="shared" si="15"/>
        <v>2.7415874576641537E-3</v>
      </c>
      <c r="P6" s="26">
        <f t="shared" si="16"/>
        <v>20</v>
      </c>
      <c r="R6" s="164" t="s">
        <v>61</v>
      </c>
      <c r="S6" s="70">
        <v>1.0173611111111111E-2</v>
      </c>
      <c r="T6" s="25">
        <f t="shared" si="17"/>
        <v>3.0010652245165519E-3</v>
      </c>
      <c r="U6" s="26">
        <f t="shared" si="18"/>
        <v>33</v>
      </c>
      <c r="W6" s="164" t="s">
        <v>63</v>
      </c>
      <c r="X6" s="70">
        <v>8.4143518518518517E-3</v>
      </c>
      <c r="Y6" s="25">
        <f t="shared" si="19"/>
        <v>2.4821096908117556E-3</v>
      </c>
      <c r="Z6" s="26">
        <f t="shared" si="20"/>
        <v>2</v>
      </c>
      <c r="AB6" s="69" t="s">
        <v>72</v>
      </c>
      <c r="AC6" s="70">
        <v>1.1944444444444445E-2</v>
      </c>
      <c r="AD6" s="25">
        <f t="shared" si="21"/>
        <v>2.9861111111111113E-3</v>
      </c>
      <c r="AE6" s="26">
        <f t="shared" si="22"/>
        <v>4</v>
      </c>
      <c r="AG6" s="69" t="s">
        <v>77</v>
      </c>
      <c r="AH6" s="70">
        <v>1.1226851851851854E-2</v>
      </c>
      <c r="AI6" s="25">
        <f t="shared" si="23"/>
        <v>2.6292393095671794E-3</v>
      </c>
      <c r="AJ6" s="26">
        <f t="shared" si="24"/>
        <v>5</v>
      </c>
      <c r="AL6" s="69" t="s">
        <v>61</v>
      </c>
      <c r="AM6" s="70">
        <v>7.6157407407407415E-3</v>
      </c>
      <c r="AN6" s="25">
        <f t="shared" si="25"/>
        <v>2.3799189814814816E-3</v>
      </c>
      <c r="AO6" s="26">
        <f t="shared" si="26"/>
        <v>3</v>
      </c>
      <c r="AQ6" s="69" t="s">
        <v>63</v>
      </c>
      <c r="AR6" s="70">
        <v>1.4039351851851851E-2</v>
      </c>
      <c r="AS6" s="25">
        <f t="shared" si="27"/>
        <v>2.7367157605949028E-3</v>
      </c>
      <c r="AT6" s="26">
        <f t="shared" si="28"/>
        <v>2</v>
      </c>
      <c r="AV6" s="48"/>
      <c r="AW6" s="49"/>
      <c r="AX6" s="50"/>
      <c r="AY6" s="51"/>
    </row>
    <row r="7" spans="1:86" s="42" customFormat="1" ht="20.100000000000001" customHeight="1" x14ac:dyDescent="0.2">
      <c r="A7" s="170" t="str">
        <f>'Team Selection'!B6</f>
        <v>Rosebud or Bust</v>
      </c>
      <c r="B7" s="171">
        <f t="shared" si="9"/>
        <v>0.21335648148148145</v>
      </c>
      <c r="C7" s="64">
        <f t="shared" si="10"/>
        <v>9</v>
      </c>
      <c r="E7" s="63">
        <f t="shared" si="11"/>
        <v>8.609953703703703E-2</v>
      </c>
      <c r="F7" s="64">
        <f t="shared" si="12"/>
        <v>9</v>
      </c>
      <c r="H7" s="164" t="s">
        <v>70</v>
      </c>
      <c r="I7" s="70">
        <v>8.9814814814814809E-3</v>
      </c>
      <c r="J7" s="25">
        <f t="shared" si="13"/>
        <v>2.6494045668086965E-3</v>
      </c>
      <c r="K7" s="26">
        <f t="shared" si="14"/>
        <v>9</v>
      </c>
      <c r="M7" s="164" t="s">
        <v>54</v>
      </c>
      <c r="N7" s="169">
        <v>9.3981481481481485E-3</v>
      </c>
      <c r="O7" s="25">
        <f t="shared" si="15"/>
        <v>2.7723150879493063E-3</v>
      </c>
      <c r="P7" s="26">
        <f t="shared" si="16"/>
        <v>21</v>
      </c>
      <c r="R7" s="164" t="s">
        <v>57</v>
      </c>
      <c r="S7" s="169">
        <v>1.0254629629629629E-2</v>
      </c>
      <c r="T7" s="25">
        <f t="shared" si="17"/>
        <v>3.0249644925161145E-3</v>
      </c>
      <c r="U7" s="26">
        <f t="shared" si="18"/>
        <v>34</v>
      </c>
      <c r="W7" s="164" t="s">
        <v>64</v>
      </c>
      <c r="X7" s="169">
        <v>9.7106481481481471E-3</v>
      </c>
      <c r="Y7" s="25">
        <f t="shared" si="19"/>
        <v>2.8644979788047631E-3</v>
      </c>
      <c r="Z7" s="26">
        <f t="shared" si="20"/>
        <v>23</v>
      </c>
      <c r="AB7" s="69" t="s">
        <v>70</v>
      </c>
      <c r="AC7" s="70">
        <v>1.1736111111111109E-2</v>
      </c>
      <c r="AD7" s="25">
        <f t="shared" si="21"/>
        <v>2.9340277777777772E-3</v>
      </c>
      <c r="AE7" s="26">
        <f t="shared" si="22"/>
        <v>2</v>
      </c>
      <c r="AG7" s="69" t="s">
        <v>57</v>
      </c>
      <c r="AH7" s="169">
        <v>1.2337962962962962E-2</v>
      </c>
      <c r="AI7" s="25">
        <f t="shared" si="23"/>
        <v>2.8894526845346519E-3</v>
      </c>
      <c r="AJ7" s="26">
        <f t="shared" si="24"/>
        <v>9</v>
      </c>
      <c r="AL7" s="69" t="s">
        <v>64</v>
      </c>
      <c r="AM7" s="169">
        <v>7.4074074074074068E-3</v>
      </c>
      <c r="AN7" s="25">
        <f t="shared" si="25"/>
        <v>2.3148148148148147E-3</v>
      </c>
      <c r="AO7" s="26">
        <f t="shared" si="26"/>
        <v>1</v>
      </c>
      <c r="AQ7" s="69" t="s">
        <v>54</v>
      </c>
      <c r="AR7" s="169">
        <v>1.6273148148148148E-2</v>
      </c>
      <c r="AS7" s="25">
        <f t="shared" si="27"/>
        <v>3.1721536351165982E-3</v>
      </c>
      <c r="AT7" s="26">
        <f t="shared" si="28"/>
        <v>7</v>
      </c>
      <c r="AV7" s="48"/>
      <c r="AW7" s="49"/>
      <c r="AX7" s="50"/>
      <c r="AY7" s="51"/>
    </row>
    <row r="8" spans="1:86" s="42" customFormat="1" ht="20.100000000000001" customHeight="1" x14ac:dyDescent="0.2">
      <c r="A8" s="62" t="str">
        <f>'Team Selection'!B7</f>
        <v>Bermuda Quadrangles</v>
      </c>
      <c r="B8" s="63">
        <f t="shared" si="9"/>
        <v>0.18099537037037036</v>
      </c>
      <c r="C8" s="64">
        <f t="shared" si="10"/>
        <v>7</v>
      </c>
      <c r="E8" s="63">
        <f t="shared" si="11"/>
        <v>8.5949074074074081E-2</v>
      </c>
      <c r="F8" s="64">
        <f t="shared" si="12"/>
        <v>7</v>
      </c>
      <c r="H8" s="164" t="s">
        <v>67</v>
      </c>
      <c r="I8" s="70">
        <v>9.0393518518518522E-3</v>
      </c>
      <c r="J8" s="25">
        <f t="shared" si="13"/>
        <v>2.66647547252267E-3</v>
      </c>
      <c r="K8" s="26">
        <f t="shared" si="14"/>
        <v>10</v>
      </c>
      <c r="M8" s="164" t="s">
        <v>52</v>
      </c>
      <c r="N8" s="70">
        <v>9.9189814814814817E-3</v>
      </c>
      <c r="O8" s="25">
        <f t="shared" si="15"/>
        <v>2.9259532393750682E-3</v>
      </c>
      <c r="P8" s="26">
        <f t="shared" si="16"/>
        <v>28</v>
      </c>
      <c r="R8" s="164" t="s">
        <v>84</v>
      </c>
      <c r="S8" s="70">
        <v>1.0034722222222221E-2</v>
      </c>
      <c r="T8" s="25">
        <f t="shared" si="17"/>
        <v>2.9600950508030148E-3</v>
      </c>
      <c r="U8" s="26">
        <f t="shared" si="18"/>
        <v>30</v>
      </c>
      <c r="W8" s="164" t="s">
        <v>58</v>
      </c>
      <c r="X8" s="70">
        <v>8.9351851851851866E-3</v>
      </c>
      <c r="Y8" s="25">
        <f t="shared" si="19"/>
        <v>2.6357478422375179E-3</v>
      </c>
      <c r="Z8" s="26">
        <f t="shared" si="20"/>
        <v>6</v>
      </c>
      <c r="AB8" s="69" t="s">
        <v>67</v>
      </c>
      <c r="AC8" s="70">
        <v>1.1967592592592592E-2</v>
      </c>
      <c r="AD8" s="25">
        <f t="shared" si="21"/>
        <v>2.991898148148148E-3</v>
      </c>
      <c r="AE8" s="26">
        <f t="shared" si="22"/>
        <v>6</v>
      </c>
      <c r="AG8" s="69" t="s">
        <v>52</v>
      </c>
      <c r="AH8" s="70">
        <v>1.1412037037037038E-2</v>
      </c>
      <c r="AI8" s="25">
        <f t="shared" si="23"/>
        <v>2.6726082053950911E-3</v>
      </c>
      <c r="AJ8" s="26">
        <f t="shared" si="24"/>
        <v>8</v>
      </c>
      <c r="AL8" s="69" t="s">
        <v>84</v>
      </c>
      <c r="AM8" s="70">
        <v>7.9629629629629634E-3</v>
      </c>
      <c r="AN8" s="25">
        <f t="shared" si="25"/>
        <v>2.488425925925926E-3</v>
      </c>
      <c r="AO8" s="26">
        <f t="shared" si="26"/>
        <v>6</v>
      </c>
      <c r="AQ8" s="69" t="s">
        <v>58</v>
      </c>
      <c r="AR8" s="70">
        <v>1.667824074074074E-2</v>
      </c>
      <c r="AS8" s="25">
        <f t="shared" si="27"/>
        <v>3.2511190527759726E-3</v>
      </c>
      <c r="AT8" s="26">
        <f t="shared" si="28"/>
        <v>9</v>
      </c>
      <c r="AV8" s="48"/>
      <c r="AW8" s="49"/>
      <c r="AX8" s="50"/>
      <c r="AY8" s="51"/>
    </row>
    <row r="9" spans="1:86" s="42" customFormat="1" ht="20.100000000000001" customHeight="1" x14ac:dyDescent="0.2">
      <c r="A9" s="62" t="str">
        <f>'Team Selection'!B8</f>
        <v>Duff'd It Up - The Sequel</v>
      </c>
      <c r="B9" s="63">
        <f t="shared" si="9"/>
        <v>0.18484953703703705</v>
      </c>
      <c r="C9" s="64">
        <f t="shared" si="10"/>
        <v>8</v>
      </c>
      <c r="E9" s="63">
        <f t="shared" si="11"/>
        <v>8.6076388888888897E-2</v>
      </c>
      <c r="F9" s="64">
        <f t="shared" si="12"/>
        <v>8</v>
      </c>
      <c r="H9" s="164" t="s">
        <v>78</v>
      </c>
      <c r="I9" s="70">
        <v>1.0069444444444445E-2</v>
      </c>
      <c r="J9" s="25">
        <f t="shared" si="13"/>
        <v>2.9703375942313997E-3</v>
      </c>
      <c r="K9" s="26">
        <f t="shared" si="14"/>
        <v>32</v>
      </c>
      <c r="M9" s="164" t="s">
        <v>55</v>
      </c>
      <c r="N9" s="70">
        <v>9.0740740740740729E-3</v>
      </c>
      <c r="O9" s="25">
        <f t="shared" si="15"/>
        <v>2.6767180159510537E-3</v>
      </c>
      <c r="P9" s="26">
        <f t="shared" si="16"/>
        <v>11</v>
      </c>
      <c r="R9" s="164" t="s">
        <v>83</v>
      </c>
      <c r="S9" s="70">
        <v>9.7106481481481471E-3</v>
      </c>
      <c r="T9" s="25">
        <f t="shared" si="17"/>
        <v>2.8644979788047631E-3</v>
      </c>
      <c r="U9" s="26">
        <f t="shared" si="18"/>
        <v>23</v>
      </c>
      <c r="W9" s="164" t="s">
        <v>60</v>
      </c>
      <c r="X9" s="70">
        <v>9.0972222222222218E-3</v>
      </c>
      <c r="Y9" s="25">
        <f t="shared" si="19"/>
        <v>2.6835463782366436E-3</v>
      </c>
      <c r="Z9" s="26">
        <f t="shared" si="20"/>
        <v>13</v>
      </c>
      <c r="AB9" s="69" t="s">
        <v>78</v>
      </c>
      <c r="AC9" s="70">
        <v>1.2812499999999999E-2</v>
      </c>
      <c r="AD9" s="25">
        <f t="shared" si="21"/>
        <v>3.2031249999999998E-3</v>
      </c>
      <c r="AE9" s="26">
        <f t="shared" si="22"/>
        <v>8</v>
      </c>
      <c r="AG9" s="69" t="s">
        <v>55</v>
      </c>
      <c r="AH9" s="70">
        <v>1.0833333333333334E-2</v>
      </c>
      <c r="AI9" s="25">
        <f t="shared" si="23"/>
        <v>2.5370804059328652E-3</v>
      </c>
      <c r="AJ9" s="26">
        <f t="shared" si="24"/>
        <v>4</v>
      </c>
      <c r="AL9" s="69" t="s">
        <v>83</v>
      </c>
      <c r="AM9" s="70">
        <v>7.8703703703703713E-3</v>
      </c>
      <c r="AN9" s="25">
        <f t="shared" si="25"/>
        <v>2.4594907407407408E-3</v>
      </c>
      <c r="AO9" s="26">
        <f t="shared" si="26"/>
        <v>5</v>
      </c>
      <c r="AQ9" s="69" t="s">
        <v>60</v>
      </c>
      <c r="AR9" s="70">
        <v>1.6608796296296299E-2</v>
      </c>
      <c r="AS9" s="25">
        <f t="shared" si="27"/>
        <v>3.2375821240343662E-3</v>
      </c>
      <c r="AT9" s="26">
        <f t="shared" si="28"/>
        <v>8</v>
      </c>
      <c r="AV9" s="48"/>
      <c r="AW9" s="49"/>
      <c r="AX9" s="50"/>
      <c r="AY9" s="51"/>
    </row>
    <row r="10" spans="1:86" s="42" customFormat="1" ht="20.100000000000001" customHeight="1" x14ac:dyDescent="0.2">
      <c r="A10" s="62" t="str">
        <f>'Team Selection'!B9</f>
        <v>Red Nitro's</v>
      </c>
      <c r="B10" s="63">
        <f t="shared" si="9"/>
        <v>0.17402777777777778</v>
      </c>
      <c r="C10" s="64">
        <f t="shared" si="10"/>
        <v>1</v>
      </c>
      <c r="E10" s="63">
        <f t="shared" si="11"/>
        <v>8.2094907407407408E-2</v>
      </c>
      <c r="F10" s="64">
        <f t="shared" si="12"/>
        <v>3</v>
      </c>
      <c r="H10" s="164" t="s">
        <v>76</v>
      </c>
      <c r="I10" s="70">
        <v>9.2129629629629627E-3</v>
      </c>
      <c r="J10" s="25">
        <f t="shared" si="13"/>
        <v>2.7176881896645907E-3</v>
      </c>
      <c r="K10" s="26">
        <f t="shared" si="14"/>
        <v>19</v>
      </c>
      <c r="M10" s="164" t="s">
        <v>68</v>
      </c>
      <c r="N10" s="70">
        <v>9.0972222222222218E-3</v>
      </c>
      <c r="O10" s="25">
        <f t="shared" si="15"/>
        <v>2.6835463782366436E-3</v>
      </c>
      <c r="P10" s="26">
        <f t="shared" si="16"/>
        <v>13</v>
      </c>
      <c r="R10" s="164" t="s">
        <v>82</v>
      </c>
      <c r="S10" s="70">
        <v>9.7916666666666655E-3</v>
      </c>
      <c r="T10" s="25">
        <f t="shared" si="17"/>
        <v>2.8883972468043261E-3</v>
      </c>
      <c r="U10" s="26">
        <f t="shared" si="18"/>
        <v>27</v>
      </c>
      <c r="W10" s="164" t="s">
        <v>65</v>
      </c>
      <c r="X10" s="70">
        <v>8.8888888888888889E-3</v>
      </c>
      <c r="Y10" s="25">
        <f t="shared" si="19"/>
        <v>2.6220911176663389E-3</v>
      </c>
      <c r="Z10" s="26">
        <f t="shared" si="20"/>
        <v>4</v>
      </c>
      <c r="AB10" s="69" t="s">
        <v>76</v>
      </c>
      <c r="AC10" s="70">
        <v>1.1770833333333333E-2</v>
      </c>
      <c r="AD10" s="25">
        <v>1.1770833333333333E-2</v>
      </c>
      <c r="AE10" s="26">
        <f t="shared" si="22"/>
        <v>3</v>
      </c>
      <c r="AG10" s="69" t="s">
        <v>68</v>
      </c>
      <c r="AH10" s="70">
        <v>1.0462962962962964E-2</v>
      </c>
      <c r="AI10" s="25">
        <f t="shared" si="23"/>
        <v>2.450342614277041E-3</v>
      </c>
      <c r="AJ10" s="26">
        <f t="shared" si="24"/>
        <v>2</v>
      </c>
      <c r="AL10" s="69" t="s">
        <v>82</v>
      </c>
      <c r="AM10" s="70">
        <v>8.0555555555555554E-3</v>
      </c>
      <c r="AN10" s="25">
        <f t="shared" si="25"/>
        <v>2.5173611111111108E-3</v>
      </c>
      <c r="AO10" s="26">
        <f t="shared" si="26"/>
        <v>7</v>
      </c>
      <c r="AQ10" s="69" t="s">
        <v>65</v>
      </c>
      <c r="AR10" s="70">
        <v>1.4814814814814814E-2</v>
      </c>
      <c r="AS10" s="25">
        <f t="shared" si="27"/>
        <v>2.8878781315428486E-3</v>
      </c>
      <c r="AT10" s="26">
        <f t="shared" si="28"/>
        <v>6</v>
      </c>
      <c r="AV10" s="48"/>
      <c r="AW10" s="49"/>
      <c r="AX10" s="50"/>
      <c r="AY10" s="51"/>
    </row>
    <row r="11" spans="1:86" s="42" customFormat="1" ht="20.100000000000001" customHeight="1" x14ac:dyDescent="0.2">
      <c r="A11" s="62" t="str">
        <f>'Team Selection'!B10</f>
        <v>Black Widows</v>
      </c>
      <c r="B11" s="63">
        <f t="shared" si="9"/>
        <v>0.17730324074074075</v>
      </c>
      <c r="C11" s="64">
        <f t="shared" si="10"/>
        <v>5</v>
      </c>
      <c r="E11" s="63">
        <f t="shared" si="11"/>
        <v>8.3101851851851843E-2</v>
      </c>
      <c r="F11" s="64">
        <f t="shared" si="12"/>
        <v>6</v>
      </c>
      <c r="H11" s="164" t="s">
        <v>69</v>
      </c>
      <c r="I11" s="70">
        <v>9.1319444444444443E-3</v>
      </c>
      <c r="J11" s="25">
        <f t="shared" si="13"/>
        <v>2.6937889216650276E-3</v>
      </c>
      <c r="K11" s="26">
        <f t="shared" si="14"/>
        <v>16</v>
      </c>
      <c r="M11" s="164" t="s">
        <v>79</v>
      </c>
      <c r="N11" s="70">
        <v>9.7106481481481471E-3</v>
      </c>
      <c r="O11" s="25">
        <f t="shared" si="15"/>
        <v>2.8644979788047631E-3</v>
      </c>
      <c r="P11" s="26">
        <f t="shared" si="16"/>
        <v>23</v>
      </c>
      <c r="R11" s="164" t="s">
        <v>80</v>
      </c>
      <c r="S11" s="70">
        <v>9.6874999999999999E-3</v>
      </c>
      <c r="T11" s="25">
        <f t="shared" si="17"/>
        <v>2.857669616519174E-3</v>
      </c>
      <c r="U11" s="26">
        <f t="shared" si="18"/>
        <v>22</v>
      </c>
      <c r="W11" s="164" t="s">
        <v>53</v>
      </c>
      <c r="X11" s="70">
        <v>8.9351851851851866E-3</v>
      </c>
      <c r="Y11" s="25">
        <f t="shared" si="19"/>
        <v>2.6357478422375179E-3</v>
      </c>
      <c r="Z11" s="26">
        <f t="shared" si="20"/>
        <v>6</v>
      </c>
      <c r="AB11" s="69" t="s">
        <v>69</v>
      </c>
      <c r="AC11" s="70">
        <v>1.2013888888888888E-2</v>
      </c>
      <c r="AD11" s="25">
        <f t="shared" si="21"/>
        <v>3.003472222222222E-3</v>
      </c>
      <c r="AE11" s="26">
        <f t="shared" si="22"/>
        <v>7</v>
      </c>
      <c r="AG11" s="69" t="s">
        <v>79</v>
      </c>
      <c r="AH11" s="70">
        <v>1.1307870370370371E-2</v>
      </c>
      <c r="AI11" s="25">
        <f t="shared" si="23"/>
        <v>2.6482132014918904E-3</v>
      </c>
      <c r="AJ11" s="26">
        <f t="shared" si="24"/>
        <v>6</v>
      </c>
      <c r="AL11" s="69" t="s">
        <v>80</v>
      </c>
      <c r="AM11" s="70">
        <v>7.69675925925926E-3</v>
      </c>
      <c r="AN11" s="25">
        <f t="shared" si="25"/>
        <v>2.4052372685185188E-3</v>
      </c>
      <c r="AO11" s="26">
        <f t="shared" si="26"/>
        <v>4</v>
      </c>
      <c r="AQ11" s="69" t="s">
        <v>53</v>
      </c>
      <c r="AR11" s="70">
        <v>1.4618055555555556E-2</v>
      </c>
      <c r="AS11" s="25">
        <f t="shared" si="27"/>
        <v>2.8495235001082956E-3</v>
      </c>
      <c r="AT11" s="26">
        <f t="shared" si="28"/>
        <v>5</v>
      </c>
      <c r="AV11" s="48"/>
      <c r="AW11" s="49"/>
      <c r="AX11" s="50"/>
      <c r="AY11" s="51"/>
    </row>
    <row r="12" spans="1:86" s="42" customFormat="1" ht="20.100000000000001" customHeight="1" x14ac:dyDescent="0.2">
      <c r="A12" s="62" t="str">
        <f>'Team Selection'!B11</f>
        <v>Octonaughts</v>
      </c>
      <c r="B12" s="63">
        <f t="shared" si="9"/>
        <v>0.17719907407407409</v>
      </c>
      <c r="C12" s="64">
        <f t="shared" si="10"/>
        <v>4</v>
      </c>
      <c r="E12" s="63">
        <f t="shared" si="11"/>
        <v>8.2997685185185188E-2</v>
      </c>
      <c r="F12" s="64">
        <f t="shared" si="12"/>
        <v>5</v>
      </c>
      <c r="H12" s="164" t="s">
        <v>81</v>
      </c>
      <c r="I12" s="70">
        <v>1.0011574074074074E-2</v>
      </c>
      <c r="J12" s="25">
        <f t="shared" si="13"/>
        <v>2.9532666885174258E-3</v>
      </c>
      <c r="K12" s="26">
        <f t="shared" si="14"/>
        <v>29</v>
      </c>
      <c r="M12" s="164" t="s">
        <v>66</v>
      </c>
      <c r="N12" s="70">
        <v>9.1087962962962971E-3</v>
      </c>
      <c r="O12" s="25">
        <f t="shared" si="15"/>
        <v>2.6869605593794386E-3</v>
      </c>
      <c r="P12" s="26">
        <f t="shared" si="16"/>
        <v>15</v>
      </c>
      <c r="R12" s="164" t="s">
        <v>56</v>
      </c>
      <c r="S12" s="70">
        <v>9.7337962962962977E-3</v>
      </c>
      <c r="T12" s="25">
        <f t="shared" si="17"/>
        <v>2.871326341090353E-3</v>
      </c>
      <c r="U12" s="26">
        <f t="shared" si="18"/>
        <v>26</v>
      </c>
      <c r="W12" s="164" t="s">
        <v>59</v>
      </c>
      <c r="X12" s="70">
        <v>8.9351851851851866E-3</v>
      </c>
      <c r="Y12" s="25">
        <f t="shared" si="19"/>
        <v>2.6357478422375179E-3</v>
      </c>
      <c r="Z12" s="26">
        <f t="shared" si="20"/>
        <v>6</v>
      </c>
      <c r="AB12" s="69" t="s">
        <v>81</v>
      </c>
      <c r="AC12" s="70">
        <v>1.2905092592592591E-2</v>
      </c>
      <c r="AD12" s="25">
        <f t="shared" si="21"/>
        <v>3.2262731481481478E-3</v>
      </c>
      <c r="AE12" s="26">
        <f t="shared" si="22"/>
        <v>9</v>
      </c>
      <c r="AG12" s="69" t="s">
        <v>66</v>
      </c>
      <c r="AH12" s="70">
        <v>1.0289351851851852E-2</v>
      </c>
      <c r="AI12" s="25">
        <f t="shared" si="23"/>
        <v>2.4096842744383731E-3</v>
      </c>
      <c r="AJ12" s="26">
        <f t="shared" si="24"/>
        <v>1</v>
      </c>
      <c r="AL12" s="69" t="s">
        <v>56</v>
      </c>
      <c r="AM12" s="70">
        <v>7.6041666666666662E-3</v>
      </c>
      <c r="AN12" s="25">
        <f t="shared" si="25"/>
        <v>2.3763020833333331E-3</v>
      </c>
      <c r="AO12" s="26">
        <f t="shared" si="26"/>
        <v>2</v>
      </c>
      <c r="AQ12" s="69" t="s">
        <v>59</v>
      </c>
      <c r="AR12" s="70">
        <v>1.4409722222222221E-2</v>
      </c>
      <c r="AS12" s="25">
        <f t="shared" si="27"/>
        <v>2.8089127138834738E-3</v>
      </c>
      <c r="AT12" s="26">
        <f t="shared" si="28"/>
        <v>4</v>
      </c>
      <c r="AV12" s="48"/>
      <c r="AW12" s="49"/>
      <c r="AX12" s="50"/>
      <c r="AY12" s="51"/>
    </row>
    <row r="13" spans="1:86" ht="20.100000000000001" customHeight="1" x14ac:dyDescent="0.2">
      <c r="I13" s="56"/>
      <c r="J13" s="57"/>
      <c r="N13" s="56"/>
      <c r="O13" s="57"/>
      <c r="S13" s="56"/>
      <c r="T13" s="57"/>
      <c r="X13" s="56"/>
      <c r="Y13" s="57"/>
      <c r="AC13" s="56"/>
      <c r="AD13" s="57"/>
      <c r="AH13" s="56"/>
      <c r="AI13" s="57"/>
      <c r="AM13" s="56"/>
      <c r="AN13" s="57"/>
      <c r="AR13" s="56"/>
      <c r="AS13" s="57"/>
      <c r="AW13" s="56"/>
      <c r="AX13" s="57"/>
      <c r="BB13" s="56"/>
      <c r="BC13" s="57"/>
      <c r="BG13" s="56"/>
      <c r="BH13" s="57"/>
      <c r="BL13" s="56"/>
      <c r="BM13" s="57"/>
      <c r="BQ13" s="56"/>
      <c r="BR13" s="57"/>
      <c r="BV13" s="56"/>
      <c r="BW13" s="57"/>
      <c r="CA13" s="56"/>
      <c r="CB13" s="57"/>
      <c r="CF13" s="56"/>
      <c r="CG13" s="57"/>
    </row>
    <row r="14" spans="1:86" s="74" customFormat="1" ht="20.100000000000001" customHeight="1" x14ac:dyDescent="0.2">
      <c r="A14" s="77"/>
      <c r="B14" s="78"/>
      <c r="C14" s="79"/>
      <c r="E14" s="78"/>
      <c r="F14" s="78"/>
      <c r="H14" s="60" t="s">
        <v>21</v>
      </c>
      <c r="I14" s="65">
        <v>3.66</v>
      </c>
      <c r="J14" s="66" t="s">
        <v>9</v>
      </c>
      <c r="K14" s="81" t="s">
        <v>11</v>
      </c>
      <c r="M14" s="60" t="s">
        <v>22</v>
      </c>
      <c r="N14" s="65">
        <v>3.7</v>
      </c>
      <c r="O14" s="66" t="s">
        <v>9</v>
      </c>
      <c r="P14" s="81" t="s">
        <v>11</v>
      </c>
      <c r="R14" s="60" t="s">
        <v>23</v>
      </c>
      <c r="S14" s="65">
        <v>5.3</v>
      </c>
      <c r="T14" s="66" t="s">
        <v>9</v>
      </c>
      <c r="U14" s="81" t="s">
        <v>11</v>
      </c>
      <c r="W14" s="60" t="s">
        <v>24</v>
      </c>
      <c r="X14" s="65">
        <v>4.5</v>
      </c>
      <c r="Y14" s="66" t="s">
        <v>9</v>
      </c>
      <c r="Z14" s="81" t="s">
        <v>11</v>
      </c>
      <c r="AB14" s="60" t="s">
        <v>25</v>
      </c>
      <c r="AC14" s="65">
        <v>4.5</v>
      </c>
      <c r="AD14" s="66" t="s">
        <v>9</v>
      </c>
      <c r="AE14" s="81" t="s">
        <v>11</v>
      </c>
      <c r="AG14" s="60" t="s">
        <v>26</v>
      </c>
      <c r="AH14" s="65">
        <v>4.21</v>
      </c>
      <c r="AI14" s="66" t="s">
        <v>9</v>
      </c>
      <c r="AJ14" s="81" t="s">
        <v>11</v>
      </c>
      <c r="AL14" s="60" t="s">
        <v>48</v>
      </c>
      <c r="AM14" s="65">
        <v>4.49</v>
      </c>
      <c r="AN14" s="66" t="s">
        <v>9</v>
      </c>
      <c r="AO14" s="81" t="s">
        <v>11</v>
      </c>
      <c r="AQ14" s="60" t="s">
        <v>49</v>
      </c>
      <c r="AR14" s="65">
        <v>3.66</v>
      </c>
      <c r="AS14" s="66" t="s">
        <v>9</v>
      </c>
      <c r="AT14" s="81" t="s">
        <v>11</v>
      </c>
      <c r="AV14" s="40"/>
      <c r="AW14" s="43"/>
      <c r="AX14" s="44"/>
      <c r="AY14" s="45"/>
      <c r="BB14" s="80"/>
      <c r="BC14" s="76"/>
      <c r="BD14" s="76"/>
      <c r="BG14" s="80"/>
      <c r="BH14" s="76"/>
      <c r="BI14" s="76"/>
      <c r="BL14" s="80"/>
      <c r="BM14" s="76"/>
      <c r="BN14" s="76"/>
      <c r="BQ14" s="80"/>
      <c r="BR14" s="76"/>
      <c r="BS14" s="76"/>
      <c r="BV14" s="80"/>
      <c r="BW14" s="76"/>
      <c r="BX14" s="76"/>
      <c r="CA14" s="80"/>
      <c r="CB14" s="76"/>
      <c r="CC14" s="76"/>
      <c r="CF14" s="80"/>
      <c r="CG14" s="76"/>
      <c r="CH14" s="76"/>
    </row>
    <row r="15" spans="1:86" s="74" customFormat="1" ht="20.100000000000001" customHeight="1" x14ac:dyDescent="0.2">
      <c r="A15" s="71" t="s">
        <v>0</v>
      </c>
      <c r="B15" s="78"/>
      <c r="C15" s="79"/>
      <c r="E15" s="60" t="s">
        <v>27</v>
      </c>
      <c r="F15" s="61" t="s">
        <v>10</v>
      </c>
      <c r="H15" s="67" t="s">
        <v>6</v>
      </c>
      <c r="I15" s="68" t="s">
        <v>7</v>
      </c>
      <c r="J15" s="82" t="s">
        <v>8</v>
      </c>
      <c r="K15" s="83" t="s">
        <v>10</v>
      </c>
      <c r="M15" s="67" t="s">
        <v>6</v>
      </c>
      <c r="N15" s="68" t="s">
        <v>7</v>
      </c>
      <c r="O15" s="82" t="s">
        <v>8</v>
      </c>
      <c r="P15" s="83" t="s">
        <v>10</v>
      </c>
      <c r="R15" s="67" t="s">
        <v>6</v>
      </c>
      <c r="S15" s="68" t="s">
        <v>7</v>
      </c>
      <c r="T15" s="82" t="s">
        <v>8</v>
      </c>
      <c r="U15" s="83" t="s">
        <v>10</v>
      </c>
      <c r="W15" s="67" t="s">
        <v>6</v>
      </c>
      <c r="X15" s="68" t="s">
        <v>7</v>
      </c>
      <c r="Y15" s="82" t="s">
        <v>8</v>
      </c>
      <c r="Z15" s="83" t="s">
        <v>10</v>
      </c>
      <c r="AB15" s="67" t="s">
        <v>6</v>
      </c>
      <c r="AC15" s="68" t="s">
        <v>7</v>
      </c>
      <c r="AD15" s="82" t="s">
        <v>8</v>
      </c>
      <c r="AE15" s="83" t="s">
        <v>10</v>
      </c>
      <c r="AG15" s="67" t="s">
        <v>6</v>
      </c>
      <c r="AH15" s="68" t="s">
        <v>7</v>
      </c>
      <c r="AI15" s="82" t="s">
        <v>8</v>
      </c>
      <c r="AJ15" s="83" t="s">
        <v>10</v>
      </c>
      <c r="AL15" s="67" t="s">
        <v>6</v>
      </c>
      <c r="AM15" s="68" t="s">
        <v>7</v>
      </c>
      <c r="AN15" s="82" t="s">
        <v>8</v>
      </c>
      <c r="AO15" s="83" t="s">
        <v>10</v>
      </c>
      <c r="AQ15" s="67" t="s">
        <v>6</v>
      </c>
      <c r="AR15" s="68" t="s">
        <v>7</v>
      </c>
      <c r="AS15" s="82" t="s">
        <v>8</v>
      </c>
      <c r="AT15" s="83" t="s">
        <v>10</v>
      </c>
      <c r="AV15" s="46"/>
      <c r="AW15" s="47"/>
      <c r="AX15" s="45"/>
      <c r="AY15" s="45"/>
      <c r="BB15" s="80"/>
      <c r="BC15" s="76"/>
      <c r="BD15" s="76"/>
      <c r="BG15" s="80"/>
      <c r="BH15" s="76"/>
      <c r="BI15" s="76"/>
      <c r="BL15" s="80"/>
      <c r="BM15" s="76"/>
      <c r="BN15" s="76"/>
      <c r="BQ15" s="80"/>
      <c r="BR15" s="76"/>
      <c r="BS15" s="76"/>
      <c r="BV15" s="80"/>
      <c r="BW15" s="76"/>
      <c r="BX15" s="76"/>
      <c r="CA15" s="80"/>
      <c r="CB15" s="76"/>
      <c r="CC15" s="76"/>
      <c r="CF15" s="80"/>
      <c r="CG15" s="76"/>
      <c r="CH15" s="76"/>
    </row>
    <row r="16" spans="1:86" ht="20.100000000000001" customHeight="1" x14ac:dyDescent="0.2">
      <c r="A16" s="72" t="str">
        <f>A4</f>
        <v>Big Trouble in Little Tokyo</v>
      </c>
      <c r="E16" s="63">
        <f t="shared" ref="E16" si="29">SUM(I16,N16,S16,X16,AC16,AH16,AM16,AR16)</f>
        <v>9.3136574074074066E-2</v>
      </c>
      <c r="F16" s="64">
        <f>RANK(E16,E$16:E$24,2)</f>
        <v>2</v>
      </c>
      <c r="H16" s="69" t="s">
        <v>86</v>
      </c>
      <c r="I16" s="70">
        <v>1.3020833333333334E-2</v>
      </c>
      <c r="J16" s="25">
        <f t="shared" ref="J16" si="30">I16/Dist8</f>
        <v>3.5576047358834243E-3</v>
      </c>
      <c r="K16" s="26">
        <f>IF(I16&gt;0,RANK(I16,I$16:I$24,1),)</f>
        <v>8</v>
      </c>
      <c r="L16" s="42"/>
      <c r="M16" s="69" t="s">
        <v>75</v>
      </c>
      <c r="N16" s="70">
        <v>1.0925925925925924E-2</v>
      </c>
      <c r="O16" s="25">
        <f t="shared" ref="O16" si="31">N16/N$14</f>
        <v>2.9529529529529522E-3</v>
      </c>
      <c r="P16" s="26">
        <f>IF(N16&gt;0,RANK(N16,N$16:N$24,1),)</f>
        <v>3</v>
      </c>
      <c r="Q16" s="42"/>
      <c r="R16" s="69" t="s">
        <v>51</v>
      </c>
      <c r="S16" s="70">
        <v>1.2349537037037039E-2</v>
      </c>
      <c r="T16" s="25">
        <f t="shared" ref="T16" si="32">S16/Dist9</f>
        <v>2.3301013277428374E-3</v>
      </c>
      <c r="U16" s="26">
        <f>IF(S16&gt;0,RANK(S16,S$16:S$24,1),)</f>
        <v>1</v>
      </c>
      <c r="V16" s="42"/>
      <c r="W16" s="69" t="s">
        <v>73</v>
      </c>
      <c r="X16" s="70">
        <v>1.2210648148148146E-2</v>
      </c>
      <c r="Y16" s="25">
        <f t="shared" ref="Y16" si="33">X16/Dist10</f>
        <v>2.7134773662551436E-3</v>
      </c>
      <c r="Z16" s="26">
        <f>IF(X16&gt;0,RANK(X16,X$16:X$24,1),)</f>
        <v>8</v>
      </c>
      <c r="AA16" s="42"/>
      <c r="AB16" s="69" t="s">
        <v>51</v>
      </c>
      <c r="AC16" s="70">
        <v>1.0937500000000001E-2</v>
      </c>
      <c r="AD16" s="25">
        <f t="shared" ref="AD16" si="34">AC16/Dist11</f>
        <v>2.4305555555555556E-3</v>
      </c>
      <c r="AE16" s="26">
        <f>IF(AC16&gt;0,RANK(AC16,AC$16:AC$24,1),)</f>
        <v>1</v>
      </c>
      <c r="AF16" s="42"/>
      <c r="AG16" s="69" t="s">
        <v>73</v>
      </c>
      <c r="AH16" s="70">
        <v>1.1342592592592592E-2</v>
      </c>
      <c r="AI16" s="25">
        <f t="shared" ref="AI16:AI24" si="35">AH16/Dist12</f>
        <v>2.6942025160552473E-3</v>
      </c>
      <c r="AJ16" s="26">
        <f>IF(AH16&gt;0,RANK(AH16,AH$16:AH$24,1),)</f>
        <v>3</v>
      </c>
      <c r="AK16" s="42"/>
      <c r="AL16" s="69" t="s">
        <v>75</v>
      </c>
      <c r="AM16" s="70">
        <v>1.0775462962962964E-2</v>
      </c>
      <c r="AN16" s="25">
        <f t="shared" ref="AN16" si="36">AM16/Dist13</f>
        <v>2.3998803926420856E-3</v>
      </c>
      <c r="AO16" s="26">
        <f>IF(AM16&gt;0,RANK(AM16,AM$16:AM$24,1),)</f>
        <v>6</v>
      </c>
      <c r="AP16" s="42"/>
      <c r="AQ16" s="69" t="s">
        <v>86</v>
      </c>
      <c r="AR16" s="70">
        <v>1.1574074074074075E-2</v>
      </c>
      <c r="AS16" s="25">
        <f t="shared" ref="AS16" si="37">AR16/Dist14</f>
        <v>3.1623153207852661E-3</v>
      </c>
      <c r="AT16" s="26">
        <f>IF(AR16&gt;0,RANK(AR16,AR$16:AR$24,1),)</f>
        <v>7</v>
      </c>
      <c r="AU16" s="42"/>
      <c r="AV16" s="48"/>
      <c r="AW16" s="49"/>
      <c r="AX16" s="50"/>
      <c r="AY16" s="51"/>
      <c r="AZ16" s="42"/>
      <c r="BB16" s="56"/>
      <c r="BC16" s="57"/>
      <c r="BG16" s="56"/>
      <c r="BH16" s="57"/>
      <c r="BL16" s="56"/>
      <c r="BM16" s="57"/>
      <c r="BQ16" s="56"/>
      <c r="BR16" s="57"/>
      <c r="BV16" s="56"/>
      <c r="BW16" s="57"/>
      <c r="CA16" s="56"/>
      <c r="CB16" s="57"/>
      <c r="CF16" s="56"/>
      <c r="CG16" s="57"/>
    </row>
    <row r="17" spans="1:85" ht="20.100000000000001" customHeight="1" x14ac:dyDescent="0.2">
      <c r="A17" s="72" t="str">
        <f t="shared" ref="A17:A24" si="38">A5</f>
        <v>Maroon 4</v>
      </c>
      <c r="E17" s="63">
        <f t="shared" ref="E17:E24" si="39">SUM(I17,N17,S17,X17,AC17,AH17,AM17,AR17)</f>
        <v>9.4826388888888891E-2</v>
      </c>
      <c r="F17" s="64">
        <f t="shared" ref="F17:F24" si="40">RANK(E17,E$16:E$24,2)</f>
        <v>6</v>
      </c>
      <c r="H17" s="69" t="s">
        <v>85</v>
      </c>
      <c r="I17" s="70">
        <v>1.3043981481481483E-2</v>
      </c>
      <c r="J17" s="25">
        <f t="shared" ref="J17:J24" si="41">I17/Dist8</f>
        <v>3.5639293665249952E-3</v>
      </c>
      <c r="K17" s="26">
        <f t="shared" ref="K17:K24" si="42">IF(I17&gt;0,RANK(I17,I$16:I$24,1),)</f>
        <v>9</v>
      </c>
      <c r="L17" s="42"/>
      <c r="M17" s="69" t="s">
        <v>71</v>
      </c>
      <c r="N17" s="70">
        <v>1.042824074074074E-2</v>
      </c>
      <c r="O17" s="25">
        <f t="shared" ref="O17:O24" si="43">N17/N$14</f>
        <v>2.8184434434434429E-3</v>
      </c>
      <c r="P17" s="26">
        <f t="shared" ref="P17:P24" si="44">IF(N17&gt;0,RANK(N17,N$16:N$24,1),)</f>
        <v>1</v>
      </c>
      <c r="Q17" s="42"/>
      <c r="R17" s="69" t="s">
        <v>62</v>
      </c>
      <c r="S17" s="70">
        <v>1.3796296296296298E-2</v>
      </c>
      <c r="T17" s="25">
        <f t="shared" ref="T17:T24" si="45">S17/Dist9</f>
        <v>2.603074772886094E-3</v>
      </c>
      <c r="U17" s="26">
        <f t="shared" ref="U17:U24" si="46">IF(S17&gt;0,RANK(S17,S$16:S$24,1),)</f>
        <v>3</v>
      </c>
      <c r="V17" s="42"/>
      <c r="W17" s="69" t="s">
        <v>74</v>
      </c>
      <c r="X17" s="70">
        <v>1.1284722222222222E-2</v>
      </c>
      <c r="Y17" s="25">
        <f t="shared" ref="Y17:Y24" si="47">X17/Dist10</f>
        <v>2.5077160493827159E-3</v>
      </c>
      <c r="Z17" s="26">
        <f t="shared" ref="Z17:Z24" si="48">IF(X17&gt;0,RANK(X17,X$16:X$24,1),)</f>
        <v>2</v>
      </c>
      <c r="AA17" s="42"/>
      <c r="AB17" s="69" t="s">
        <v>71</v>
      </c>
      <c r="AC17" s="70">
        <v>1.2743055555555556E-2</v>
      </c>
      <c r="AD17" s="25">
        <f t="shared" ref="AD17:AD24" si="49">AC17/Dist11</f>
        <v>2.8317901234567902E-3</v>
      </c>
      <c r="AE17" s="26">
        <f t="shared" ref="AE17:AE24" si="50">IF(AC17&gt;0,RANK(AC17,AC$16:AC$24,1),)</f>
        <v>5</v>
      </c>
      <c r="AF17" s="42"/>
      <c r="AG17" s="69" t="s">
        <v>85</v>
      </c>
      <c r="AH17" s="70">
        <v>1.3495370370370371E-2</v>
      </c>
      <c r="AI17" s="25">
        <f t="shared" ref="AI17:AI23" si="51">AH17/Dist12</f>
        <v>3.2055511568575704E-3</v>
      </c>
      <c r="AJ17" s="26">
        <f t="shared" ref="AJ17:AJ23" si="52">IF(AH17&gt;0,RANK(AH17,AH$16:AH$24,1),)</f>
        <v>8</v>
      </c>
      <c r="AK17" s="42"/>
      <c r="AL17" s="69" t="s">
        <v>62</v>
      </c>
      <c r="AM17" s="70">
        <v>1.0150462962962964E-2</v>
      </c>
      <c r="AN17" s="25">
        <f t="shared" ref="AN17:AN24" si="53">AM17/Dist13</f>
        <v>2.2606821743792792E-3</v>
      </c>
      <c r="AO17" s="26">
        <f t="shared" ref="AO17:AO24" si="54">IF(AM17&gt;0,RANK(AM17,AM$16:AM$24,1),)</f>
        <v>1</v>
      </c>
      <c r="AP17" s="42"/>
      <c r="AQ17" s="69" t="s">
        <v>74</v>
      </c>
      <c r="AR17" s="70">
        <v>9.8842592592592576E-3</v>
      </c>
      <c r="AS17" s="25">
        <f t="shared" ref="AS17:AS24" si="55">AR17/Dist14</f>
        <v>2.7006172839506167E-3</v>
      </c>
      <c r="AT17" s="26">
        <f t="shared" ref="AT17:AT24" si="56">IF(AR17&gt;0,RANK(AR17,AR$16:AR$24,1),)</f>
        <v>2</v>
      </c>
      <c r="AU17" s="42"/>
      <c r="AV17" s="48"/>
      <c r="AW17" s="49"/>
      <c r="AX17" s="50"/>
      <c r="AY17" s="51"/>
      <c r="AZ17" s="42"/>
      <c r="BB17" s="56"/>
      <c r="BC17" s="57"/>
      <c r="BG17" s="56"/>
      <c r="BH17" s="57"/>
      <c r="BL17" s="56"/>
      <c r="BM17" s="57"/>
      <c r="BQ17" s="56"/>
      <c r="BR17" s="57"/>
      <c r="BV17" s="56"/>
      <c r="BW17" s="57"/>
      <c r="CA17" s="56"/>
      <c r="CB17" s="57"/>
      <c r="CF17" s="56"/>
      <c r="CG17" s="57"/>
    </row>
    <row r="18" spans="1:85" ht="20.100000000000001" customHeight="1" x14ac:dyDescent="0.2">
      <c r="A18" s="72" t="str">
        <f t="shared" si="38"/>
        <v>Slips is a Loser</v>
      </c>
      <c r="E18" s="63">
        <f t="shared" si="39"/>
        <v>9.3530092592592595E-2</v>
      </c>
      <c r="F18" s="64">
        <f t="shared" si="40"/>
        <v>3</v>
      </c>
      <c r="H18" s="69" t="s">
        <v>61</v>
      </c>
      <c r="I18" s="70">
        <v>1.252314814814815E-2</v>
      </c>
      <c r="J18" s="25">
        <f t="shared" si="41"/>
        <v>3.4216251770896582E-3</v>
      </c>
      <c r="K18" s="26">
        <f t="shared" si="42"/>
        <v>7</v>
      </c>
      <c r="L18" s="42"/>
      <c r="M18" s="69" t="s">
        <v>77</v>
      </c>
      <c r="N18" s="70">
        <v>1.0983796296296297E-2</v>
      </c>
      <c r="O18" s="25">
        <f t="shared" si="43"/>
        <v>2.9685935935935938E-3</v>
      </c>
      <c r="P18" s="26">
        <f t="shared" si="44"/>
        <v>4</v>
      </c>
      <c r="Q18" s="42"/>
      <c r="R18" s="69" t="s">
        <v>63</v>
      </c>
      <c r="S18" s="70">
        <v>1.34375E-2</v>
      </c>
      <c r="T18" s="25">
        <f t="shared" si="45"/>
        <v>2.5353773584905659E-3</v>
      </c>
      <c r="U18" s="26">
        <f t="shared" si="46"/>
        <v>2</v>
      </c>
      <c r="V18" s="42"/>
      <c r="W18" s="69" t="s">
        <v>72</v>
      </c>
      <c r="X18" s="70">
        <v>1.1377314814814814E-2</v>
      </c>
      <c r="Y18" s="25">
        <f t="shared" si="47"/>
        <v>2.5282921810699586E-3</v>
      </c>
      <c r="Z18" s="26">
        <f t="shared" si="48"/>
        <v>3</v>
      </c>
      <c r="AA18" s="42"/>
      <c r="AB18" s="69" t="s">
        <v>77</v>
      </c>
      <c r="AC18" s="70">
        <v>1.3414351851851851E-2</v>
      </c>
      <c r="AD18" s="25">
        <f t="shared" si="49"/>
        <v>2.9809670781893003E-3</v>
      </c>
      <c r="AE18" s="26">
        <f t="shared" si="50"/>
        <v>7</v>
      </c>
      <c r="AF18" s="42"/>
      <c r="AG18" s="69" t="s">
        <v>63</v>
      </c>
      <c r="AH18" s="70">
        <v>1.0127314814814815E-2</v>
      </c>
      <c r="AI18" s="25">
        <f t="shared" si="51"/>
        <v>2.4055379607636138E-3</v>
      </c>
      <c r="AJ18" s="26">
        <f t="shared" si="52"/>
        <v>1</v>
      </c>
      <c r="AK18" s="42"/>
      <c r="AL18" s="69" t="s">
        <v>72</v>
      </c>
      <c r="AM18" s="70">
        <v>1.0567129629629629E-2</v>
      </c>
      <c r="AN18" s="25">
        <f t="shared" si="53"/>
        <v>2.3534809865544829E-3</v>
      </c>
      <c r="AO18" s="26">
        <f t="shared" si="54"/>
        <v>3</v>
      </c>
      <c r="AP18" s="42"/>
      <c r="AQ18" s="69" t="s">
        <v>61</v>
      </c>
      <c r="AR18" s="70">
        <v>1.1099537037037038E-2</v>
      </c>
      <c r="AS18" s="25">
        <f t="shared" si="55"/>
        <v>3.0326603926330705E-3</v>
      </c>
      <c r="AT18" s="26">
        <f t="shared" si="56"/>
        <v>6</v>
      </c>
      <c r="AU18" s="42"/>
      <c r="AV18" s="48"/>
      <c r="AW18" s="49"/>
      <c r="AX18" s="50"/>
      <c r="AY18" s="51"/>
      <c r="AZ18" s="42"/>
      <c r="BB18" s="56"/>
      <c r="BC18" s="57"/>
      <c r="BG18" s="56"/>
      <c r="BH18" s="57"/>
      <c r="BL18" s="56"/>
      <c r="BM18" s="57"/>
      <c r="BQ18" s="56"/>
      <c r="BR18" s="57"/>
      <c r="BV18" s="56"/>
      <c r="BW18" s="57"/>
      <c r="CA18" s="56"/>
      <c r="CB18" s="57"/>
      <c r="CF18" s="56"/>
      <c r="CG18" s="57"/>
    </row>
    <row r="19" spans="1:85" ht="20.100000000000001" customHeight="1" x14ac:dyDescent="0.2">
      <c r="A19" s="172" t="str">
        <f t="shared" si="38"/>
        <v>Rosebud or Bust</v>
      </c>
      <c r="E19" s="63">
        <f t="shared" si="39"/>
        <v>0.12725694444444444</v>
      </c>
      <c r="F19" s="64">
        <f t="shared" si="40"/>
        <v>9</v>
      </c>
      <c r="H19" s="69" t="s">
        <v>70</v>
      </c>
      <c r="I19" s="70">
        <v>1.0972222222222223E-2</v>
      </c>
      <c r="J19" s="25">
        <f t="shared" si="41"/>
        <v>2.9978749241044325E-3</v>
      </c>
      <c r="K19" s="26">
        <f t="shared" si="42"/>
        <v>1</v>
      </c>
      <c r="L19" s="42"/>
      <c r="M19" s="69" t="s">
        <v>54</v>
      </c>
      <c r="N19" s="169">
        <v>1.136574074074074E-2</v>
      </c>
      <c r="O19" s="25">
        <f t="shared" si="43"/>
        <v>3.0718218218218217E-3</v>
      </c>
      <c r="P19" s="26">
        <f t="shared" si="44"/>
        <v>7</v>
      </c>
      <c r="Q19" s="42"/>
      <c r="R19" s="69" t="s">
        <v>64</v>
      </c>
      <c r="S19" s="169">
        <v>1.4641203703703703E-2</v>
      </c>
      <c r="T19" s="25">
        <f t="shared" si="45"/>
        <v>2.7624912648497556E-3</v>
      </c>
      <c r="U19" s="26">
        <f t="shared" si="46"/>
        <v>9</v>
      </c>
      <c r="V19" s="42"/>
      <c r="W19" s="69" t="s">
        <v>57</v>
      </c>
      <c r="X19" s="167">
        <v>2.0833333333333332E-2</v>
      </c>
      <c r="Y19" s="25">
        <f t="shared" si="47"/>
        <v>4.6296296296296294E-3</v>
      </c>
      <c r="Z19" s="26">
        <f t="shared" si="48"/>
        <v>9</v>
      </c>
      <c r="AA19" s="42"/>
      <c r="AB19" s="69" t="s">
        <v>70</v>
      </c>
      <c r="AC19" s="167">
        <v>1.7361111111111112E-2</v>
      </c>
      <c r="AD19" s="25">
        <f t="shared" si="49"/>
        <v>3.8580246913580249E-3</v>
      </c>
      <c r="AE19" s="26">
        <f t="shared" si="50"/>
        <v>9</v>
      </c>
      <c r="AF19" s="42"/>
      <c r="AG19" s="69" t="s">
        <v>54</v>
      </c>
      <c r="AH19" s="167">
        <v>1.7361111111111112E-2</v>
      </c>
      <c r="AI19" s="25">
        <f t="shared" si="51"/>
        <v>4.1237793613090531E-3</v>
      </c>
      <c r="AJ19" s="26">
        <f t="shared" si="52"/>
        <v>9</v>
      </c>
      <c r="AK19" s="42"/>
      <c r="AL19" s="69" t="s">
        <v>64</v>
      </c>
      <c r="AM19" s="167">
        <v>1.7361111111111112E-2</v>
      </c>
      <c r="AN19" s="25">
        <f t="shared" si="53"/>
        <v>3.8666171739668398E-3</v>
      </c>
      <c r="AO19" s="26">
        <f t="shared" si="54"/>
        <v>9</v>
      </c>
      <c r="AP19" s="42"/>
      <c r="AQ19" s="69" t="s">
        <v>57</v>
      </c>
      <c r="AR19" s="167">
        <v>1.7361111111111112E-2</v>
      </c>
      <c r="AS19" s="25">
        <f t="shared" si="55"/>
        <v>4.7434729811778997E-3</v>
      </c>
      <c r="AT19" s="26">
        <f t="shared" si="56"/>
        <v>9</v>
      </c>
      <c r="AU19" s="42"/>
      <c r="AV19" s="48"/>
      <c r="AW19" s="49"/>
      <c r="AX19" s="50"/>
      <c r="AY19" s="51"/>
      <c r="AZ19" s="42"/>
      <c r="BB19" s="56"/>
      <c r="BC19" s="57"/>
      <c r="BG19" s="56"/>
      <c r="BH19" s="57"/>
      <c r="BL19" s="56"/>
      <c r="BM19" s="57"/>
      <c r="BQ19" s="56"/>
      <c r="BR19" s="57"/>
      <c r="BV19" s="56"/>
      <c r="BW19" s="57"/>
      <c r="CA19" s="56"/>
      <c r="CB19" s="57"/>
      <c r="CF19" s="56"/>
      <c r="CG19" s="57"/>
    </row>
    <row r="20" spans="1:85" ht="20.100000000000001" customHeight="1" x14ac:dyDescent="0.2">
      <c r="A20" s="72" t="str">
        <f t="shared" si="38"/>
        <v>Bermuda Quadrangles</v>
      </c>
      <c r="E20" s="63">
        <f t="shared" si="39"/>
        <v>9.5046296296296282E-2</v>
      </c>
      <c r="F20" s="64">
        <f t="shared" si="40"/>
        <v>7</v>
      </c>
      <c r="H20" s="69" t="s">
        <v>84</v>
      </c>
      <c r="I20" s="70">
        <v>1.1793981481481482E-2</v>
      </c>
      <c r="J20" s="25">
        <f t="shared" si="41"/>
        <v>3.2223993118801861E-3</v>
      </c>
      <c r="K20" s="26">
        <f t="shared" si="42"/>
        <v>6</v>
      </c>
      <c r="L20" s="42"/>
      <c r="M20" s="69" t="s">
        <v>52</v>
      </c>
      <c r="N20" s="70">
        <v>1.1666666666666667E-2</v>
      </c>
      <c r="O20" s="25">
        <f t="shared" si="43"/>
        <v>3.153153153153153E-3</v>
      </c>
      <c r="P20" s="26">
        <f t="shared" si="44"/>
        <v>9</v>
      </c>
      <c r="Q20" s="42"/>
      <c r="R20" s="69" t="s">
        <v>58</v>
      </c>
      <c r="S20" s="70">
        <v>1.40625E-2</v>
      </c>
      <c r="T20" s="25">
        <f t="shared" si="45"/>
        <v>2.6533018867924531E-3</v>
      </c>
      <c r="U20" s="26">
        <f t="shared" si="46"/>
        <v>4</v>
      </c>
      <c r="V20" s="42"/>
      <c r="W20" s="69" t="s">
        <v>67</v>
      </c>
      <c r="X20" s="70">
        <v>1.1469907407407408E-2</v>
      </c>
      <c r="Y20" s="25">
        <f t="shared" si="47"/>
        <v>2.5488683127572018E-3</v>
      </c>
      <c r="Z20" s="26">
        <f t="shared" si="48"/>
        <v>5</v>
      </c>
      <c r="AA20" s="42"/>
      <c r="AB20" s="69" t="s">
        <v>58</v>
      </c>
      <c r="AC20" s="70">
        <v>1.2418981481481482E-2</v>
      </c>
      <c r="AD20" s="25">
        <f t="shared" si="49"/>
        <v>2.7597736625514404E-3</v>
      </c>
      <c r="AE20" s="26">
        <f t="shared" si="50"/>
        <v>2</v>
      </c>
      <c r="AF20" s="42"/>
      <c r="AG20" s="69" t="s">
        <v>52</v>
      </c>
      <c r="AH20" s="70">
        <v>1.1979166666666666E-2</v>
      </c>
      <c r="AI20" s="25">
        <f t="shared" si="51"/>
        <v>2.845407759303246E-3</v>
      </c>
      <c r="AJ20" s="26">
        <f t="shared" si="52"/>
        <v>6</v>
      </c>
      <c r="AK20" s="42"/>
      <c r="AL20" s="69" t="s">
        <v>67</v>
      </c>
      <c r="AM20" s="70">
        <v>1.0972222222222223E-2</v>
      </c>
      <c r="AN20" s="25">
        <f t="shared" si="53"/>
        <v>2.4437020539470429E-3</v>
      </c>
      <c r="AO20" s="26">
        <f t="shared" si="54"/>
        <v>7</v>
      </c>
      <c r="AP20" s="42"/>
      <c r="AQ20" s="69" t="s">
        <v>84</v>
      </c>
      <c r="AR20" s="70">
        <v>1.068287037037037E-2</v>
      </c>
      <c r="AS20" s="25">
        <f t="shared" si="55"/>
        <v>2.9188170410848007E-3</v>
      </c>
      <c r="AT20" s="26">
        <f t="shared" si="56"/>
        <v>5</v>
      </c>
      <c r="AU20" s="42"/>
      <c r="AV20" s="48"/>
      <c r="AW20" s="49"/>
      <c r="AX20" s="50"/>
      <c r="AY20" s="51"/>
      <c r="AZ20" s="42"/>
      <c r="BB20" s="56"/>
      <c r="BC20" s="57"/>
      <c r="BG20" s="56"/>
      <c r="BH20" s="57"/>
      <c r="BL20" s="56"/>
      <c r="BM20" s="57"/>
      <c r="BQ20" s="56"/>
      <c r="BR20" s="57"/>
      <c r="BV20" s="56"/>
      <c r="BW20" s="57"/>
      <c r="CA20" s="56"/>
      <c r="CB20" s="57"/>
      <c r="CF20" s="56"/>
      <c r="CG20" s="57"/>
    </row>
    <row r="21" spans="1:85" ht="20.100000000000001" customHeight="1" x14ac:dyDescent="0.2">
      <c r="A21" s="72" t="str">
        <f t="shared" si="38"/>
        <v>Duff'd It Up - The Sequel</v>
      </c>
      <c r="E21" s="63">
        <f t="shared" si="39"/>
        <v>9.8773148148148165E-2</v>
      </c>
      <c r="F21" s="64">
        <f t="shared" si="40"/>
        <v>8</v>
      </c>
      <c r="H21" s="69" t="s">
        <v>83</v>
      </c>
      <c r="I21" s="70">
        <v>1.1157407407407408E-2</v>
      </c>
      <c r="J21" s="25">
        <f t="shared" si="41"/>
        <v>3.0484719692369963E-3</v>
      </c>
      <c r="K21" s="26">
        <f t="shared" si="42"/>
        <v>2</v>
      </c>
      <c r="L21" s="42"/>
      <c r="M21" s="69" t="s">
        <v>78</v>
      </c>
      <c r="N21" s="70">
        <v>1.1504629629629629E-2</v>
      </c>
      <c r="O21" s="25">
        <f t="shared" si="43"/>
        <v>3.109359359359359E-3</v>
      </c>
      <c r="P21" s="26">
        <f t="shared" si="44"/>
        <v>8</v>
      </c>
      <c r="Q21" s="42"/>
      <c r="R21" s="69" t="s">
        <v>60</v>
      </c>
      <c r="S21" s="70">
        <v>1.4212962962962962E-2</v>
      </c>
      <c r="T21" s="25">
        <f t="shared" si="45"/>
        <v>2.6816911250873514E-3</v>
      </c>
      <c r="U21" s="26">
        <f t="shared" si="46"/>
        <v>5</v>
      </c>
      <c r="V21" s="42"/>
      <c r="W21" s="69" t="s">
        <v>55</v>
      </c>
      <c r="X21" s="70">
        <v>1.1782407407407406E-2</v>
      </c>
      <c r="Y21" s="25">
        <f t="shared" si="47"/>
        <v>2.6183127572016458E-3</v>
      </c>
      <c r="Z21" s="26">
        <f t="shared" si="48"/>
        <v>7</v>
      </c>
      <c r="AA21" s="42"/>
      <c r="AB21" s="69" t="s">
        <v>60</v>
      </c>
      <c r="AC21" s="70">
        <v>1.3344907407407408E-2</v>
      </c>
      <c r="AD21" s="25">
        <f t="shared" si="49"/>
        <v>2.9655349794238685E-3</v>
      </c>
      <c r="AE21" s="26">
        <f t="shared" si="50"/>
        <v>6</v>
      </c>
      <c r="AF21" s="42"/>
      <c r="AG21" s="69" t="s">
        <v>78</v>
      </c>
      <c r="AH21" s="70">
        <v>1.1620370370370371E-2</v>
      </c>
      <c r="AI21" s="25">
        <f t="shared" si="51"/>
        <v>2.7601829858361925E-3</v>
      </c>
      <c r="AJ21" s="26">
        <f t="shared" si="52"/>
        <v>5</v>
      </c>
      <c r="AK21" s="42"/>
      <c r="AL21" s="69" t="s">
        <v>55</v>
      </c>
      <c r="AM21" s="70">
        <v>1.119212962962963E-2</v>
      </c>
      <c r="AN21" s="25">
        <f t="shared" si="53"/>
        <v>2.4926792048172892E-3</v>
      </c>
      <c r="AO21" s="26">
        <f t="shared" si="54"/>
        <v>8</v>
      </c>
      <c r="AP21" s="42"/>
      <c r="AQ21" s="69" t="s">
        <v>83</v>
      </c>
      <c r="AR21" s="70">
        <v>1.3958333333333335E-2</v>
      </c>
      <c r="AS21" s="25">
        <f t="shared" si="55"/>
        <v>3.8137522768670312E-3</v>
      </c>
      <c r="AT21" s="26">
        <f t="shared" si="56"/>
        <v>8</v>
      </c>
      <c r="AU21" s="42"/>
      <c r="AV21" s="48"/>
      <c r="AW21" s="49"/>
      <c r="AX21" s="50"/>
      <c r="AY21" s="51"/>
      <c r="AZ21" s="42"/>
      <c r="BB21" s="56"/>
      <c r="BC21" s="57"/>
      <c r="BG21" s="56"/>
      <c r="BH21" s="57"/>
      <c r="BL21" s="56"/>
      <c r="BM21" s="57"/>
      <c r="BQ21" s="56"/>
      <c r="BR21" s="57"/>
      <c r="BV21" s="56"/>
      <c r="BW21" s="57"/>
      <c r="CA21" s="56"/>
      <c r="CB21" s="57"/>
      <c r="CF21" s="56"/>
      <c r="CG21" s="57"/>
    </row>
    <row r="22" spans="1:85" ht="20.100000000000001" customHeight="1" x14ac:dyDescent="0.2">
      <c r="A22" s="72" t="str">
        <f t="shared" si="38"/>
        <v>Red Nitro's</v>
      </c>
      <c r="E22" s="63">
        <f t="shared" si="39"/>
        <v>9.1932870370370373E-2</v>
      </c>
      <c r="F22" s="64">
        <f t="shared" si="40"/>
        <v>1</v>
      </c>
      <c r="H22" s="69" t="s">
        <v>82</v>
      </c>
      <c r="I22" s="70">
        <v>1.1238425925925928E-2</v>
      </c>
      <c r="J22" s="25">
        <f t="shared" si="41"/>
        <v>3.0706081764824938E-3</v>
      </c>
      <c r="K22" s="26">
        <f t="shared" si="42"/>
        <v>3</v>
      </c>
      <c r="L22" s="42"/>
      <c r="M22" s="69" t="s">
        <v>76</v>
      </c>
      <c r="N22" s="70">
        <v>1.0625000000000001E-2</v>
      </c>
      <c r="O22" s="25">
        <f t="shared" si="43"/>
        <v>2.8716216216216218E-3</v>
      </c>
      <c r="P22" s="26">
        <f t="shared" si="44"/>
        <v>2</v>
      </c>
      <c r="Q22" s="42"/>
      <c r="R22" s="69" t="s">
        <v>65</v>
      </c>
      <c r="S22" s="70">
        <v>1.4421296296296295E-2</v>
      </c>
      <c r="T22" s="25">
        <f t="shared" si="45"/>
        <v>2.7209993011879804E-3</v>
      </c>
      <c r="U22" s="26">
        <f t="shared" si="46"/>
        <v>6</v>
      </c>
      <c r="V22" s="42"/>
      <c r="W22" s="69" t="s">
        <v>68</v>
      </c>
      <c r="X22" s="70">
        <v>1.1504629629629629E-2</v>
      </c>
      <c r="Y22" s="25">
        <f t="shared" si="47"/>
        <v>2.5565843621399176E-3</v>
      </c>
      <c r="Z22" s="26">
        <f t="shared" si="48"/>
        <v>6</v>
      </c>
      <c r="AA22" s="42"/>
      <c r="AB22" s="69" t="s">
        <v>65</v>
      </c>
      <c r="AC22" s="70">
        <v>1.2731481481481481E-2</v>
      </c>
      <c r="AD22" s="25">
        <f t="shared" si="49"/>
        <v>2.8292181069958845E-3</v>
      </c>
      <c r="AE22" s="26">
        <f t="shared" si="50"/>
        <v>4</v>
      </c>
      <c r="AF22" s="42"/>
      <c r="AG22" s="69" t="s">
        <v>76</v>
      </c>
      <c r="AH22" s="70">
        <v>1.0995370370370371E-2</v>
      </c>
      <c r="AI22" s="25">
        <f t="shared" si="51"/>
        <v>2.6117269288290666E-3</v>
      </c>
      <c r="AJ22" s="26">
        <f t="shared" si="52"/>
        <v>2</v>
      </c>
      <c r="AK22" s="42"/>
      <c r="AL22" s="69" t="s">
        <v>68</v>
      </c>
      <c r="AM22" s="70">
        <v>1.0277777777777778E-2</v>
      </c>
      <c r="AN22" s="25">
        <f t="shared" si="53"/>
        <v>2.2890373669883692E-3</v>
      </c>
      <c r="AO22" s="26">
        <f t="shared" si="54"/>
        <v>2</v>
      </c>
      <c r="AP22" s="42"/>
      <c r="AQ22" s="69" t="s">
        <v>82</v>
      </c>
      <c r="AR22" s="70">
        <v>1.0138888888888888E-2</v>
      </c>
      <c r="AS22" s="25">
        <f t="shared" si="55"/>
        <v>2.7701882210078928E-3</v>
      </c>
      <c r="AT22" s="26">
        <f t="shared" si="56"/>
        <v>3</v>
      </c>
      <c r="AU22" s="42"/>
      <c r="AV22" s="48"/>
      <c r="AW22" s="49"/>
      <c r="AX22" s="50"/>
      <c r="AY22" s="51"/>
      <c r="AZ22" s="42"/>
      <c r="BB22" s="56"/>
      <c r="BC22" s="57"/>
      <c r="BG22" s="56"/>
      <c r="BH22" s="57"/>
      <c r="BL22" s="56"/>
      <c r="BM22" s="57"/>
      <c r="BQ22" s="56"/>
      <c r="BR22" s="57"/>
      <c r="BV22" s="56"/>
      <c r="BW22" s="57"/>
      <c r="CA22" s="56"/>
      <c r="CB22" s="57"/>
      <c r="CF22" s="56"/>
      <c r="CG22" s="57"/>
    </row>
    <row r="23" spans="1:85" ht="20.100000000000001" customHeight="1" x14ac:dyDescent="0.2">
      <c r="A23" s="72" t="str">
        <f t="shared" si="38"/>
        <v>Black Widows</v>
      </c>
      <c r="E23" s="63">
        <f t="shared" si="39"/>
        <v>9.4201388888888904E-2</v>
      </c>
      <c r="F23" s="64">
        <f t="shared" si="40"/>
        <v>5</v>
      </c>
      <c r="H23" s="69" t="s">
        <v>79</v>
      </c>
      <c r="I23" s="70">
        <v>1.1412037037037038E-2</v>
      </c>
      <c r="J23" s="25">
        <f t="shared" si="41"/>
        <v>3.1180429062942728E-3</v>
      </c>
      <c r="K23" s="26">
        <f t="shared" si="42"/>
        <v>4</v>
      </c>
      <c r="L23" s="42"/>
      <c r="M23" s="69" t="s">
        <v>80</v>
      </c>
      <c r="N23" s="70">
        <v>1.1076388888888887E-2</v>
      </c>
      <c r="O23" s="25">
        <f t="shared" si="43"/>
        <v>2.9936186186186181E-3</v>
      </c>
      <c r="P23" s="26">
        <f t="shared" si="44"/>
        <v>5</v>
      </c>
      <c r="Q23" s="42"/>
      <c r="R23" s="69" t="s">
        <v>53</v>
      </c>
      <c r="S23" s="70">
        <v>1.4583333333333332E-2</v>
      </c>
      <c r="T23" s="25">
        <f t="shared" si="45"/>
        <v>2.751572327044025E-3</v>
      </c>
      <c r="U23" s="26">
        <f t="shared" si="46"/>
        <v>7</v>
      </c>
      <c r="V23" s="42"/>
      <c r="W23" s="69" t="s">
        <v>69</v>
      </c>
      <c r="X23" s="70">
        <v>1.1145833333333334E-2</v>
      </c>
      <c r="Y23" s="25">
        <f t="shared" si="47"/>
        <v>2.476851851851852E-3</v>
      </c>
      <c r="Z23" s="26">
        <f t="shared" si="48"/>
        <v>1</v>
      </c>
      <c r="AA23" s="42"/>
      <c r="AB23" s="69" t="s">
        <v>53</v>
      </c>
      <c r="AC23" s="70">
        <v>1.2615740740740742E-2</v>
      </c>
      <c r="AD23" s="25">
        <f t="shared" si="49"/>
        <v>2.8034979423868316E-3</v>
      </c>
      <c r="AE23" s="26">
        <f t="shared" si="50"/>
        <v>3</v>
      </c>
      <c r="AF23" s="42"/>
      <c r="AG23" s="69" t="s">
        <v>79</v>
      </c>
      <c r="AH23" s="70">
        <v>1.1979166666666666E-2</v>
      </c>
      <c r="AI23" s="25">
        <f t="shared" si="51"/>
        <v>2.845407759303246E-3</v>
      </c>
      <c r="AJ23" s="26">
        <f t="shared" si="52"/>
        <v>6</v>
      </c>
      <c r="AK23" s="42"/>
      <c r="AL23" s="69" t="s">
        <v>69</v>
      </c>
      <c r="AM23" s="70">
        <v>1.0717592592592593E-2</v>
      </c>
      <c r="AN23" s="25">
        <f t="shared" si="53"/>
        <v>2.3869916687288624E-3</v>
      </c>
      <c r="AO23" s="26">
        <f t="shared" si="54"/>
        <v>5</v>
      </c>
      <c r="AP23" s="42"/>
      <c r="AQ23" s="69" t="s">
        <v>80</v>
      </c>
      <c r="AR23" s="70">
        <v>1.0671296296296297E-2</v>
      </c>
      <c r="AS23" s="25">
        <f t="shared" si="55"/>
        <v>2.9156547257640155E-3</v>
      </c>
      <c r="AT23" s="26">
        <f t="shared" si="56"/>
        <v>4</v>
      </c>
      <c r="AU23" s="42"/>
      <c r="AV23" s="48"/>
      <c r="AW23" s="49"/>
      <c r="AX23" s="50"/>
      <c r="AY23" s="51"/>
      <c r="AZ23" s="42"/>
      <c r="BB23" s="56"/>
      <c r="BC23" s="57"/>
      <c r="BG23" s="56"/>
      <c r="BH23" s="57"/>
      <c r="BL23" s="56"/>
      <c r="BM23" s="57"/>
      <c r="BQ23" s="56"/>
      <c r="BR23" s="57"/>
      <c r="BV23" s="56"/>
      <c r="BW23" s="57"/>
      <c r="CA23" s="56"/>
      <c r="CB23" s="57"/>
      <c r="CF23" s="56"/>
      <c r="CG23" s="57"/>
    </row>
    <row r="24" spans="1:85" ht="20.100000000000001" customHeight="1" x14ac:dyDescent="0.2">
      <c r="A24" s="72" t="str">
        <f t="shared" si="38"/>
        <v>Octonaughts</v>
      </c>
      <c r="E24" s="63">
        <f t="shared" si="39"/>
        <v>9.420138888888889E-2</v>
      </c>
      <c r="F24" s="64">
        <f t="shared" si="40"/>
        <v>4</v>
      </c>
      <c r="H24" s="69" t="s">
        <v>81</v>
      </c>
      <c r="I24" s="70">
        <v>1.1516203703703702E-2</v>
      </c>
      <c r="J24" s="25">
        <f t="shared" si="41"/>
        <v>3.1465037441813391E-3</v>
      </c>
      <c r="K24" s="26">
        <f t="shared" si="42"/>
        <v>5</v>
      </c>
      <c r="L24" s="42"/>
      <c r="M24" s="69" t="s">
        <v>56</v>
      </c>
      <c r="N24" s="70">
        <v>1.1284722222222222E-2</v>
      </c>
      <c r="O24" s="25">
        <f t="shared" si="43"/>
        <v>3.0499249249249247E-3</v>
      </c>
      <c r="P24" s="26">
        <f t="shared" si="44"/>
        <v>6</v>
      </c>
      <c r="Q24" s="42"/>
      <c r="R24" s="69" t="s">
        <v>59</v>
      </c>
      <c r="S24" s="70">
        <v>1.4583333333333332E-2</v>
      </c>
      <c r="T24" s="25">
        <f t="shared" si="45"/>
        <v>2.751572327044025E-3</v>
      </c>
      <c r="U24" s="26">
        <f t="shared" si="46"/>
        <v>7</v>
      </c>
      <c r="V24" s="42"/>
      <c r="W24" s="69" t="s">
        <v>66</v>
      </c>
      <c r="X24" s="70">
        <v>1.1388888888888888E-2</v>
      </c>
      <c r="Y24" s="25">
        <f t="shared" si="47"/>
        <v>2.5308641975308639E-3</v>
      </c>
      <c r="Z24" s="26">
        <f t="shared" si="48"/>
        <v>4</v>
      </c>
      <c r="AA24" s="42"/>
      <c r="AB24" s="69" t="s">
        <v>81</v>
      </c>
      <c r="AC24" s="70">
        <v>1.375E-2</v>
      </c>
      <c r="AD24" s="25">
        <f t="shared" si="49"/>
        <v>3.0555555555555557E-3</v>
      </c>
      <c r="AE24" s="26">
        <f t="shared" si="50"/>
        <v>8</v>
      </c>
      <c r="AF24" s="42"/>
      <c r="AG24" s="69" t="s">
        <v>56</v>
      </c>
      <c r="AH24" s="70">
        <v>1.136574074074074E-2</v>
      </c>
      <c r="AI24" s="25">
        <f t="shared" si="35"/>
        <v>2.6997008885369929E-3</v>
      </c>
      <c r="AJ24" s="26">
        <f>IF(AH24&gt;0,RANK(AH24,AH$16:AH$24,1),)</f>
        <v>4</v>
      </c>
      <c r="AK24" s="42"/>
      <c r="AL24" s="69" t="s">
        <v>59</v>
      </c>
      <c r="AM24" s="70">
        <v>1.0636574074074074E-2</v>
      </c>
      <c r="AN24" s="25">
        <f t="shared" si="53"/>
        <v>2.3689474552503506E-3</v>
      </c>
      <c r="AO24" s="26">
        <f t="shared" si="54"/>
        <v>4</v>
      </c>
      <c r="AP24" s="42"/>
      <c r="AQ24" s="69" t="s">
        <v>66</v>
      </c>
      <c r="AR24" s="70">
        <v>9.6759259259259264E-3</v>
      </c>
      <c r="AS24" s="25">
        <f t="shared" si="55"/>
        <v>2.6436956081764824E-3</v>
      </c>
      <c r="AT24" s="26">
        <f t="shared" si="56"/>
        <v>1</v>
      </c>
      <c r="AU24" s="42"/>
      <c r="AV24" s="48"/>
      <c r="AW24" s="49"/>
      <c r="AX24" s="50"/>
      <c r="AY24" s="51"/>
      <c r="AZ24" s="42"/>
      <c r="BB24" s="56"/>
      <c r="BC24" s="57"/>
      <c r="BG24" s="56"/>
      <c r="BH24" s="57"/>
      <c r="BL24" s="56"/>
      <c r="BM24" s="57"/>
      <c r="BQ24" s="56"/>
      <c r="BR24" s="57"/>
      <c r="BV24" s="56"/>
      <c r="BW24" s="57"/>
      <c r="CA24" s="56"/>
      <c r="CB24" s="57"/>
      <c r="CF24" s="56"/>
      <c r="CG24" s="57"/>
    </row>
    <row r="26" spans="1:85" ht="30" customHeight="1" x14ac:dyDescent="0.2">
      <c r="A26" s="173" t="s">
        <v>96</v>
      </c>
      <c r="B26" s="173"/>
      <c r="C26" s="173"/>
      <c r="D26" s="173"/>
      <c r="E26" s="173"/>
    </row>
    <row r="27" spans="1:85" ht="30" customHeight="1" x14ac:dyDescent="0.2"/>
    <row r="28" spans="1:85" ht="15" customHeight="1" x14ac:dyDescent="0.2">
      <c r="A28" s="52" t="s">
        <v>0</v>
      </c>
    </row>
    <row r="29" spans="1:85" x14ac:dyDescent="0.2">
      <c r="A29" s="52">
        <v>1</v>
      </c>
      <c r="B29" s="52" t="str">
        <f>'Team Selection'!D3</f>
        <v>Simon Bevege</v>
      </c>
      <c r="C29" s="52" t="str">
        <f>'Team Selection'!F3</f>
        <v>Katie Seibold</v>
      </c>
      <c r="D29" s="52" t="str">
        <f>'Team Selection'!H3</f>
        <v>Garth Calder</v>
      </c>
      <c r="E29" s="52" t="str">
        <f>'Team Selection'!J3</f>
        <v>Matt Clark</v>
      </c>
      <c r="F29" s="57"/>
    </row>
    <row r="30" spans="1:85" x14ac:dyDescent="0.2">
      <c r="A30" s="52">
        <v>2</v>
      </c>
      <c r="B30" s="52" t="str">
        <f>'Team Selection'!D4</f>
        <v>Andrew Coles</v>
      </c>
      <c r="C30" s="52" t="str">
        <f>'Team Selection'!F4</f>
        <v>Clem Scott</v>
      </c>
      <c r="D30" s="52" t="str">
        <f>'Team Selection'!H4</f>
        <v>Dan Langelaan</v>
      </c>
      <c r="E30" s="52" t="str">
        <f>'Team Selection'!J4</f>
        <v>Elisa Mooren</v>
      </c>
      <c r="F30" s="57"/>
    </row>
    <row r="31" spans="1:85" x14ac:dyDescent="0.2">
      <c r="A31" s="52">
        <v>3</v>
      </c>
      <c r="B31" s="52" t="str">
        <f>'Team Selection'!D5</f>
        <v>Stevie Williams</v>
      </c>
      <c r="C31" s="52" t="str">
        <f>'Team Selection'!F5</f>
        <v>Shane Fielding</v>
      </c>
      <c r="D31" s="52" t="str">
        <f>'Team Selection'!H5</f>
        <v>Joe Vaughan</v>
      </c>
      <c r="E31" s="52" t="str">
        <f>'Team Selection'!J5</f>
        <v>Nick Tobin</v>
      </c>
      <c r="F31" s="57"/>
    </row>
    <row r="32" spans="1:85" x14ac:dyDescent="0.2">
      <c r="A32" s="52">
        <v>4</v>
      </c>
      <c r="B32" s="52" t="str">
        <f>'Team Selection'!D6</f>
        <v>Dave Munro</v>
      </c>
      <c r="C32" s="52" t="str">
        <f>'Team Selection'!F6</f>
        <v>Stephen Paine</v>
      </c>
      <c r="D32" s="52" t="str">
        <f>'Team Selection'!H6</f>
        <v>Glenn Carroll</v>
      </c>
      <c r="E32" s="52" t="str">
        <f>'Team Selection'!J6</f>
        <v>James Chiriano</v>
      </c>
      <c r="F32" s="57"/>
    </row>
    <row r="33" spans="1:44" x14ac:dyDescent="0.2">
      <c r="A33" s="52">
        <v>5</v>
      </c>
      <c r="B33" s="52" t="str">
        <f>'Team Selection'!D7</f>
        <v>David Alcock</v>
      </c>
      <c r="C33" s="52" t="str">
        <f>'Team Selection'!F7</f>
        <v>Peter Larsen</v>
      </c>
      <c r="D33" s="52" t="str">
        <f>'Team Selection'!H7</f>
        <v>Ewen Vowels</v>
      </c>
      <c r="E33" s="52" t="str">
        <f>'Team Selection'!J7</f>
        <v>Chris Wade</v>
      </c>
      <c r="F33" s="57"/>
      <c r="I33" s="57"/>
    </row>
    <row r="34" spans="1:44" x14ac:dyDescent="0.2">
      <c r="A34" s="52">
        <v>6</v>
      </c>
      <c r="B34" s="52" t="str">
        <f>'Team Selection'!D8</f>
        <v>David Hartley</v>
      </c>
      <c r="C34" s="52" t="str">
        <f>'Team Selection'!F8</f>
        <v>Anthony Mithen</v>
      </c>
      <c r="D34" s="52" t="str">
        <f>'Team Selection'!H8</f>
        <v>Tony Hally</v>
      </c>
      <c r="E34" s="52" t="str">
        <f>'Team Selection'!J8</f>
        <v>Selim Ahmed</v>
      </c>
      <c r="F34" s="57"/>
      <c r="I34" s="57"/>
    </row>
    <row r="35" spans="1:44" x14ac:dyDescent="0.2">
      <c r="A35" s="52">
        <v>7</v>
      </c>
      <c r="B35" s="52" t="str">
        <f>'Team Selection'!D9</f>
        <v>Simon Tu</v>
      </c>
      <c r="C35" s="52" t="str">
        <f>'Team Selection'!F9</f>
        <v>Bruce Arthur</v>
      </c>
      <c r="D35" s="52" t="str">
        <f>'Team Selection'!H9</f>
        <v>Mark Symes</v>
      </c>
      <c r="E35" s="52" t="str">
        <f>'Team Selection'!J9</f>
        <v>Dale Nardella</v>
      </c>
      <c r="F35" s="57"/>
      <c r="I35" s="49"/>
      <c r="N35" s="49"/>
      <c r="S35" s="49"/>
      <c r="X35" s="49"/>
      <c r="AC35" s="49"/>
      <c r="AH35" s="49"/>
      <c r="AM35" s="49"/>
      <c r="AR35" s="49"/>
    </row>
    <row r="36" spans="1:44" x14ac:dyDescent="0.2">
      <c r="A36" s="52">
        <v>8</v>
      </c>
      <c r="B36" s="52" t="str">
        <f>'Team Selection'!D10</f>
        <v>Richard Does</v>
      </c>
      <c r="C36" s="52" t="str">
        <f>'Team Selection'!F10</f>
        <v>Alex Kimp</v>
      </c>
      <c r="D36" s="52" t="str">
        <f>'Team Selection'!H10</f>
        <v>Greg Roche</v>
      </c>
      <c r="E36" s="52" t="str">
        <f>'Team Selection'!J10</f>
        <v>Janice De Vries</v>
      </c>
      <c r="F36" s="57"/>
      <c r="I36" s="49"/>
      <c r="N36" s="49"/>
      <c r="S36" s="49"/>
      <c r="X36" s="49"/>
      <c r="AC36" s="49"/>
      <c r="AH36" s="49"/>
      <c r="AM36" s="49"/>
      <c r="AR36" s="49"/>
    </row>
    <row r="37" spans="1:44" x14ac:dyDescent="0.2">
      <c r="A37" s="52">
        <v>9</v>
      </c>
      <c r="B37" s="52" t="str">
        <f>'Team Selection'!D11</f>
        <v>Rob Dalton</v>
      </c>
      <c r="C37" s="52" t="str">
        <f>'Team Selection'!F11</f>
        <v>Andrew Compson</v>
      </c>
      <c r="D37" s="52" t="str">
        <f>'Team Selection'!H11</f>
        <v>Simon Moore</v>
      </c>
      <c r="E37" s="52" t="str">
        <f>'Team Selection'!J11</f>
        <v>Chris Osborne</v>
      </c>
      <c r="F37" s="57"/>
      <c r="I37" s="49"/>
      <c r="S37" s="49"/>
      <c r="X37" s="49"/>
      <c r="AC37" s="49"/>
      <c r="AH37" s="49"/>
      <c r="AM37" s="49"/>
      <c r="AR37" s="49"/>
    </row>
    <row r="38" spans="1:44" x14ac:dyDescent="0.2">
      <c r="I38" s="49"/>
      <c r="S38" s="49"/>
      <c r="X38" s="49"/>
      <c r="AC38" s="49"/>
      <c r="AH38" s="49"/>
      <c r="AM38" s="49"/>
      <c r="AR38" s="49"/>
    </row>
    <row r="39" spans="1:44" x14ac:dyDescent="0.2">
      <c r="I39" s="49"/>
      <c r="S39" s="49"/>
      <c r="X39" s="49"/>
      <c r="AC39" s="49"/>
      <c r="AH39" s="49"/>
      <c r="AM39" s="49"/>
      <c r="AR39" s="49"/>
    </row>
    <row r="47" spans="1:44" x14ac:dyDescent="0.2">
      <c r="L47" s="74"/>
    </row>
    <row r="48" spans="1:44" x14ac:dyDescent="0.2">
      <c r="L48" s="74"/>
    </row>
    <row r="49" spans="8:86" x14ac:dyDescent="0.2">
      <c r="L49" s="42"/>
    </row>
    <row r="50" spans="8:86" x14ac:dyDescent="0.2">
      <c r="L50" s="42"/>
    </row>
    <row r="51" spans="8:86" x14ac:dyDescent="0.2">
      <c r="L51" s="42"/>
    </row>
    <row r="52" spans="8:86" x14ac:dyDescent="0.2">
      <c r="L52" s="42"/>
    </row>
    <row r="53" spans="8:86" x14ac:dyDescent="0.2">
      <c r="L53" s="42"/>
      <c r="N53" s="56"/>
      <c r="O53" s="57"/>
    </row>
    <row r="54" spans="8:86" x14ac:dyDescent="0.2">
      <c r="L54" s="42"/>
    </row>
    <row r="55" spans="8:86" x14ac:dyDescent="0.2">
      <c r="L55" s="42"/>
    </row>
    <row r="56" spans="8:86" x14ac:dyDescent="0.2">
      <c r="I56" s="56"/>
      <c r="J56" s="57"/>
    </row>
    <row r="57" spans="8:86" x14ac:dyDescent="0.2">
      <c r="H57" s="60" t="s">
        <v>50</v>
      </c>
      <c r="J57" s="74"/>
      <c r="N57" s="115"/>
      <c r="O57" s="113"/>
      <c r="P57" s="114"/>
      <c r="CF57" s="55"/>
      <c r="CH57" s="55"/>
    </row>
    <row r="58" spans="8:86" x14ac:dyDescent="0.2">
      <c r="H58" s="70">
        <f>I4</f>
        <v>9.0856481481481483E-3</v>
      </c>
      <c r="L58" s="42"/>
      <c r="N58" s="55"/>
      <c r="O58" s="57"/>
      <c r="P58" s="55"/>
      <c r="Q58" s="113"/>
      <c r="R58" s="58"/>
      <c r="S58" s="55"/>
      <c r="T58" s="57"/>
      <c r="U58" s="55"/>
      <c r="W58" s="58"/>
      <c r="X58" s="55"/>
      <c r="Y58" s="57"/>
      <c r="Z58" s="55"/>
      <c r="AB58" s="58"/>
      <c r="AC58" s="55"/>
      <c r="AD58" s="57"/>
      <c r="AE58" s="55"/>
      <c r="AH58" s="55"/>
      <c r="AI58" s="57"/>
      <c r="AJ58" s="55"/>
      <c r="AL58" s="58"/>
      <c r="AM58" s="55"/>
      <c r="AN58" s="57"/>
      <c r="AO58" s="55"/>
      <c r="AQ58" s="58"/>
      <c r="AR58" s="55"/>
      <c r="AS58" s="57"/>
      <c r="AT58" s="55"/>
      <c r="AV58" s="58"/>
      <c r="AW58" s="55"/>
      <c r="AX58" s="57"/>
      <c r="AY58" s="55"/>
      <c r="BA58" s="58"/>
      <c r="BB58" s="55"/>
      <c r="BC58" s="57"/>
      <c r="BD58" s="55"/>
      <c r="BF58" s="58"/>
      <c r="BG58" s="55"/>
      <c r="BH58" s="57"/>
      <c r="BI58" s="55"/>
      <c r="BK58" s="58"/>
      <c r="BL58" s="55"/>
      <c r="BM58" s="57"/>
      <c r="BN58" s="55"/>
      <c r="BP58" s="58"/>
      <c r="BQ58" s="55"/>
      <c r="BR58" s="57"/>
      <c r="BS58" s="55"/>
      <c r="BU58" s="58"/>
      <c r="BV58" s="55"/>
      <c r="BW58" s="57"/>
      <c r="BX58" s="55"/>
      <c r="BZ58" s="58"/>
      <c r="CA58" s="55"/>
      <c r="CB58" s="57"/>
      <c r="CC58" s="55"/>
      <c r="CE58" s="58"/>
      <c r="CF58" s="55"/>
      <c r="CG58" s="57"/>
      <c r="CH58" s="55"/>
    </row>
    <row r="59" spans="8:86" x14ac:dyDescent="0.2">
      <c r="H59" s="70">
        <f t="shared" ref="H59:H66" si="57">I5</f>
        <v>8.9120370370370378E-3</v>
      </c>
      <c r="L59" s="42"/>
      <c r="N59" s="55"/>
      <c r="O59" s="57"/>
      <c r="P59" s="55"/>
      <c r="Q59" s="113"/>
      <c r="R59" s="58"/>
      <c r="S59" s="55"/>
      <c r="T59" s="57"/>
      <c r="U59" s="55"/>
      <c r="W59" s="58"/>
      <c r="X59" s="55"/>
      <c r="Y59" s="57"/>
      <c r="Z59" s="55"/>
      <c r="AB59" s="58"/>
      <c r="AC59" s="55"/>
      <c r="AD59" s="57"/>
      <c r="AE59" s="55"/>
      <c r="AH59" s="55"/>
      <c r="AI59" s="57"/>
      <c r="AJ59" s="55"/>
      <c r="AL59" s="58"/>
      <c r="AM59" s="55"/>
      <c r="AN59" s="57"/>
      <c r="AO59" s="55"/>
      <c r="AQ59" s="58"/>
      <c r="AR59" s="55"/>
      <c r="AS59" s="57"/>
      <c r="AT59" s="55"/>
      <c r="AV59" s="58"/>
      <c r="AW59" s="55"/>
      <c r="AX59" s="57"/>
      <c r="AY59" s="55"/>
      <c r="BA59" s="58"/>
      <c r="BB59" s="55"/>
      <c r="BC59" s="57"/>
      <c r="BD59" s="55"/>
      <c r="BF59" s="58"/>
      <c r="BG59" s="55"/>
      <c r="BH59" s="57"/>
      <c r="BI59" s="55"/>
      <c r="BK59" s="58"/>
      <c r="BL59" s="55"/>
      <c r="BM59" s="57"/>
      <c r="BN59" s="55"/>
      <c r="BP59" s="58"/>
      <c r="BQ59" s="55"/>
      <c r="BR59" s="57"/>
      <c r="BS59" s="55"/>
      <c r="BU59" s="58"/>
      <c r="BV59" s="55"/>
      <c r="BW59" s="57"/>
      <c r="BX59" s="55"/>
      <c r="BZ59" s="58"/>
      <c r="CA59" s="55"/>
      <c r="CB59" s="57"/>
      <c r="CC59" s="55"/>
      <c r="CE59" s="58"/>
      <c r="CF59" s="55"/>
      <c r="CG59" s="57"/>
      <c r="CH59" s="55"/>
    </row>
    <row r="60" spans="8:86" x14ac:dyDescent="0.2">
      <c r="H60" s="70">
        <f t="shared" si="57"/>
        <v>9.1435185185185178E-3</v>
      </c>
      <c r="L60" s="42"/>
      <c r="N60" s="55"/>
      <c r="O60" s="57"/>
      <c r="P60" s="55"/>
      <c r="Q60" s="113"/>
      <c r="R60" s="58"/>
      <c r="S60" s="55"/>
      <c r="T60" s="57"/>
      <c r="U60" s="55"/>
      <c r="W60" s="58"/>
      <c r="X60" s="55"/>
      <c r="Y60" s="57"/>
      <c r="Z60" s="55"/>
      <c r="AB60" s="58"/>
      <c r="AC60" s="55"/>
      <c r="AD60" s="57"/>
      <c r="AE60" s="55"/>
      <c r="AH60" s="55"/>
      <c r="AI60" s="57"/>
      <c r="AJ60" s="55"/>
      <c r="AL60" s="58"/>
      <c r="AM60" s="55"/>
      <c r="AN60" s="57"/>
      <c r="AO60" s="55"/>
      <c r="AQ60" s="58"/>
      <c r="AR60" s="55"/>
      <c r="AS60" s="57"/>
      <c r="AT60" s="55"/>
      <c r="AV60" s="58"/>
      <c r="AW60" s="55"/>
      <c r="AX60" s="57"/>
      <c r="AY60" s="55"/>
      <c r="BA60" s="58"/>
      <c r="BB60" s="55"/>
      <c r="BC60" s="57"/>
      <c r="BD60" s="55"/>
      <c r="BF60" s="58"/>
      <c r="BG60" s="55"/>
      <c r="BH60" s="57"/>
      <c r="BI60" s="55"/>
      <c r="BK60" s="58"/>
      <c r="BL60" s="55"/>
      <c r="BM60" s="57"/>
      <c r="BN60" s="55"/>
      <c r="BP60" s="58"/>
      <c r="BQ60" s="55"/>
      <c r="BR60" s="57"/>
      <c r="BS60" s="55"/>
      <c r="BU60" s="58"/>
      <c r="BV60" s="55"/>
      <c r="BW60" s="57"/>
      <c r="BX60" s="55"/>
      <c r="BZ60" s="58"/>
      <c r="CA60" s="55"/>
      <c r="CB60" s="57"/>
      <c r="CC60" s="55"/>
      <c r="CE60" s="58"/>
      <c r="CF60" s="55"/>
      <c r="CG60" s="57"/>
      <c r="CH60" s="55"/>
    </row>
    <row r="61" spans="8:86" x14ac:dyDescent="0.2">
      <c r="H61" s="70">
        <f t="shared" si="57"/>
        <v>8.9814814814814809E-3</v>
      </c>
      <c r="L61" s="42"/>
      <c r="N61" s="55"/>
      <c r="O61" s="57"/>
      <c r="P61" s="55"/>
      <c r="Q61" s="113"/>
      <c r="R61" s="58"/>
      <c r="S61" s="55"/>
      <c r="T61" s="57"/>
      <c r="U61" s="55"/>
      <c r="W61" s="58"/>
      <c r="X61" s="55"/>
      <c r="Y61" s="57"/>
      <c r="Z61" s="55"/>
      <c r="AB61" s="58"/>
      <c r="AC61" s="55"/>
      <c r="AD61" s="57"/>
      <c r="AE61" s="55"/>
      <c r="AH61" s="55"/>
      <c r="AI61" s="57"/>
      <c r="AJ61" s="55"/>
      <c r="AL61" s="58"/>
      <c r="AM61" s="55"/>
      <c r="AN61" s="57"/>
      <c r="AO61" s="55"/>
      <c r="AQ61" s="58"/>
      <c r="AR61" s="55"/>
      <c r="AS61" s="57"/>
      <c r="AT61" s="55"/>
      <c r="AV61" s="58"/>
      <c r="AW61" s="55"/>
      <c r="AX61" s="57"/>
      <c r="AY61" s="55"/>
      <c r="BA61" s="58"/>
      <c r="BB61" s="55"/>
      <c r="BC61" s="57"/>
      <c r="BD61" s="55"/>
      <c r="BF61" s="58"/>
      <c r="BG61" s="55"/>
      <c r="BH61" s="57"/>
      <c r="BI61" s="55"/>
      <c r="BK61" s="58"/>
      <c r="BL61" s="55"/>
      <c r="BM61" s="57"/>
      <c r="BN61" s="55"/>
      <c r="BP61" s="58"/>
      <c r="BQ61" s="55"/>
      <c r="BR61" s="57"/>
      <c r="BS61" s="55"/>
      <c r="BU61" s="58"/>
      <c r="BV61" s="55"/>
      <c r="BW61" s="57"/>
      <c r="BX61" s="55"/>
      <c r="BZ61" s="58"/>
      <c r="CA61" s="55"/>
      <c r="CB61" s="57"/>
      <c r="CC61" s="55"/>
      <c r="CE61" s="58"/>
      <c r="CF61" s="55"/>
      <c r="CG61" s="57"/>
      <c r="CH61" s="55"/>
    </row>
    <row r="62" spans="8:86" x14ac:dyDescent="0.2">
      <c r="H62" s="70">
        <f t="shared" si="57"/>
        <v>9.0393518518518522E-3</v>
      </c>
      <c r="L62" s="42"/>
      <c r="N62" s="55"/>
      <c r="O62" s="57"/>
      <c r="P62" s="55"/>
      <c r="Q62" s="113"/>
      <c r="R62" s="58"/>
      <c r="S62" s="55"/>
      <c r="T62" s="57"/>
      <c r="U62" s="55"/>
      <c r="W62" s="58"/>
      <c r="X62" s="55"/>
      <c r="Y62" s="57"/>
      <c r="Z62" s="55"/>
      <c r="AB62" s="58"/>
      <c r="AC62" s="55"/>
      <c r="AD62" s="57"/>
      <c r="AE62" s="55"/>
      <c r="AH62" s="55"/>
      <c r="AI62" s="57"/>
      <c r="AJ62" s="55"/>
      <c r="AL62" s="58"/>
      <c r="AM62" s="55"/>
      <c r="AN62" s="57"/>
      <c r="AO62" s="55"/>
      <c r="AQ62" s="58"/>
      <c r="AR62" s="55"/>
      <c r="AS62" s="57"/>
      <c r="AT62" s="55"/>
      <c r="AV62" s="58"/>
      <c r="AW62" s="55"/>
      <c r="AX62" s="57"/>
      <c r="AY62" s="55"/>
      <c r="BA62" s="58"/>
      <c r="BB62" s="55"/>
      <c r="BC62" s="57"/>
      <c r="BD62" s="55"/>
      <c r="BF62" s="58"/>
      <c r="BG62" s="55"/>
      <c r="BH62" s="57"/>
      <c r="BI62" s="55"/>
      <c r="BK62" s="58"/>
      <c r="BL62" s="55"/>
      <c r="BM62" s="57"/>
      <c r="BN62" s="55"/>
      <c r="BP62" s="58"/>
      <c r="BQ62" s="55"/>
      <c r="BR62" s="57"/>
      <c r="BS62" s="55"/>
      <c r="BU62" s="58"/>
      <c r="BV62" s="55"/>
      <c r="BW62" s="57"/>
      <c r="BX62" s="55"/>
      <c r="BZ62" s="58"/>
      <c r="CA62" s="55"/>
      <c r="CB62" s="57"/>
      <c r="CC62" s="55"/>
      <c r="CE62" s="58"/>
      <c r="CF62" s="55"/>
      <c r="CG62" s="57"/>
      <c r="CH62" s="55"/>
    </row>
    <row r="63" spans="8:86" x14ac:dyDescent="0.2">
      <c r="H63" s="70">
        <f t="shared" si="57"/>
        <v>1.0069444444444445E-2</v>
      </c>
      <c r="L63" s="42"/>
      <c r="N63" s="55"/>
      <c r="O63" s="57"/>
      <c r="P63" s="55"/>
      <c r="Q63" s="113"/>
      <c r="R63" s="58"/>
      <c r="S63" s="55"/>
      <c r="T63" s="57"/>
      <c r="U63" s="55"/>
      <c r="W63" s="58"/>
      <c r="X63" s="55"/>
      <c r="Y63" s="57"/>
      <c r="Z63" s="55"/>
      <c r="AB63" s="58"/>
      <c r="AC63" s="55"/>
      <c r="AD63" s="57"/>
      <c r="AE63" s="55"/>
      <c r="AH63" s="55"/>
      <c r="AI63" s="57"/>
      <c r="AJ63" s="55"/>
      <c r="AL63" s="58"/>
      <c r="AM63" s="55"/>
      <c r="AN63" s="57"/>
      <c r="AO63" s="55"/>
      <c r="AQ63" s="58"/>
      <c r="AR63" s="55"/>
      <c r="AS63" s="57"/>
      <c r="AT63" s="55"/>
      <c r="AV63" s="58"/>
      <c r="AW63" s="55"/>
      <c r="AX63" s="57"/>
      <c r="AY63" s="55"/>
      <c r="BA63" s="58"/>
      <c r="BB63" s="55"/>
      <c r="BC63" s="57"/>
      <c r="BD63" s="55"/>
      <c r="BF63" s="58"/>
      <c r="BG63" s="55"/>
      <c r="BH63" s="57"/>
      <c r="BI63" s="55"/>
      <c r="BK63" s="58"/>
      <c r="BL63" s="55"/>
      <c r="BM63" s="57"/>
      <c r="BN63" s="55"/>
      <c r="BP63" s="58"/>
      <c r="BQ63" s="55"/>
      <c r="BR63" s="57"/>
      <c r="BS63" s="55"/>
      <c r="BU63" s="58"/>
      <c r="BV63" s="55"/>
      <c r="BW63" s="57"/>
      <c r="BX63" s="55"/>
      <c r="BZ63" s="58"/>
      <c r="CA63" s="55"/>
      <c r="CB63" s="57"/>
      <c r="CC63" s="55"/>
      <c r="CE63" s="58"/>
      <c r="CF63" s="55"/>
      <c r="CG63" s="57"/>
      <c r="CH63" s="55"/>
    </row>
    <row r="64" spans="8:86" x14ac:dyDescent="0.2">
      <c r="H64" s="70">
        <f t="shared" si="57"/>
        <v>9.2129629629629627E-3</v>
      </c>
      <c r="L64" s="42"/>
      <c r="N64" s="55"/>
      <c r="O64" s="57"/>
      <c r="P64" s="55"/>
      <c r="Q64" s="113"/>
      <c r="R64" s="58"/>
      <c r="S64" s="55"/>
      <c r="T64" s="57"/>
      <c r="U64" s="55"/>
      <c r="W64" s="58"/>
      <c r="X64" s="55"/>
      <c r="Y64" s="57"/>
      <c r="Z64" s="55"/>
      <c r="AB64" s="58"/>
      <c r="AC64" s="55"/>
      <c r="AD64" s="57"/>
      <c r="AE64" s="55"/>
      <c r="AH64" s="55"/>
      <c r="AI64" s="57"/>
      <c r="AJ64" s="55"/>
      <c r="AL64" s="58"/>
      <c r="AM64" s="55"/>
      <c r="AN64" s="57"/>
      <c r="AO64" s="55"/>
      <c r="AQ64" s="58"/>
      <c r="AR64" s="55"/>
      <c r="AS64" s="57"/>
      <c r="AT64" s="55"/>
      <c r="AV64" s="58"/>
      <c r="AW64" s="55"/>
      <c r="AX64" s="57"/>
      <c r="AY64" s="55"/>
      <c r="BA64" s="58"/>
      <c r="BB64" s="55"/>
      <c r="BC64" s="57"/>
      <c r="BD64" s="55"/>
      <c r="BF64" s="58"/>
      <c r="BG64" s="55"/>
      <c r="BH64" s="57"/>
      <c r="BI64" s="55"/>
      <c r="BK64" s="58"/>
      <c r="BL64" s="55"/>
      <c r="BM64" s="57"/>
      <c r="BN64" s="55"/>
      <c r="BP64" s="58"/>
      <c r="BQ64" s="55"/>
      <c r="BR64" s="57"/>
      <c r="BS64" s="55"/>
      <c r="BU64" s="58"/>
      <c r="BV64" s="55"/>
      <c r="BW64" s="57"/>
      <c r="BX64" s="55"/>
      <c r="BZ64" s="58"/>
      <c r="CA64" s="55"/>
      <c r="CB64" s="57"/>
      <c r="CC64" s="55"/>
      <c r="CE64" s="58"/>
      <c r="CF64" s="55"/>
      <c r="CG64" s="57"/>
      <c r="CH64" s="55"/>
    </row>
    <row r="65" spans="8:86" x14ac:dyDescent="0.2">
      <c r="H65" s="70">
        <f t="shared" si="57"/>
        <v>9.1319444444444443E-3</v>
      </c>
      <c r="L65" s="42"/>
      <c r="N65" s="55"/>
      <c r="O65" s="57"/>
      <c r="P65" s="55"/>
      <c r="Q65" s="113"/>
      <c r="R65" s="58"/>
      <c r="S65" s="55"/>
      <c r="T65" s="57"/>
      <c r="U65" s="55"/>
      <c r="W65" s="58"/>
      <c r="X65" s="55"/>
      <c r="Y65" s="57"/>
      <c r="Z65" s="55"/>
      <c r="AB65" s="58"/>
      <c r="AC65" s="55"/>
      <c r="AD65" s="57"/>
      <c r="AE65" s="55"/>
      <c r="AH65" s="55"/>
      <c r="AI65" s="57"/>
      <c r="AJ65" s="55"/>
      <c r="AL65" s="58"/>
      <c r="AM65" s="55"/>
      <c r="AN65" s="57"/>
      <c r="AO65" s="55"/>
      <c r="AQ65" s="58"/>
      <c r="AR65" s="55"/>
      <c r="AS65" s="57"/>
      <c r="AT65" s="55"/>
      <c r="AV65" s="58"/>
      <c r="AW65" s="55"/>
      <c r="AX65" s="57"/>
      <c r="AY65" s="55"/>
      <c r="BA65" s="58"/>
      <c r="BB65" s="55"/>
      <c r="BC65" s="57"/>
      <c r="BD65" s="55"/>
      <c r="BF65" s="58"/>
      <c r="BG65" s="55"/>
      <c r="BH65" s="57"/>
      <c r="BI65" s="55"/>
      <c r="BK65" s="58"/>
      <c r="BL65" s="55"/>
      <c r="BM65" s="57"/>
      <c r="BN65" s="55"/>
      <c r="BP65" s="58"/>
      <c r="BQ65" s="55"/>
      <c r="BR65" s="57"/>
      <c r="BS65" s="55"/>
      <c r="BU65" s="58"/>
      <c r="BV65" s="55"/>
      <c r="BW65" s="57"/>
      <c r="BX65" s="55"/>
      <c r="BZ65" s="58"/>
      <c r="CA65" s="55"/>
      <c r="CB65" s="57"/>
      <c r="CC65" s="55"/>
      <c r="CE65" s="58"/>
      <c r="CF65" s="55"/>
      <c r="CG65" s="57"/>
      <c r="CH65" s="55"/>
    </row>
    <row r="66" spans="8:86" x14ac:dyDescent="0.2">
      <c r="H66" s="70">
        <f t="shared" si="57"/>
        <v>1.0011574074074074E-2</v>
      </c>
      <c r="L66" s="42"/>
      <c r="N66" s="55"/>
      <c r="O66" s="57"/>
      <c r="P66" s="55"/>
      <c r="Q66" s="113"/>
      <c r="R66" s="58"/>
      <c r="S66" s="55"/>
      <c r="T66" s="57"/>
      <c r="U66" s="55"/>
      <c r="W66" s="58"/>
      <c r="X66" s="55"/>
      <c r="Y66" s="57"/>
      <c r="Z66" s="55"/>
      <c r="AB66" s="58"/>
      <c r="AC66" s="55"/>
      <c r="AD66" s="57"/>
      <c r="AE66" s="55"/>
      <c r="AH66" s="55"/>
      <c r="AI66" s="57"/>
      <c r="AJ66" s="55"/>
      <c r="AL66" s="58"/>
      <c r="AM66" s="55"/>
      <c r="AN66" s="57"/>
      <c r="AO66" s="55"/>
      <c r="AQ66" s="58"/>
      <c r="AR66" s="55"/>
      <c r="AS66" s="57"/>
      <c r="AT66" s="55"/>
      <c r="AV66" s="58"/>
      <c r="AW66" s="55"/>
      <c r="AX66" s="57"/>
      <c r="AY66" s="55"/>
      <c r="BA66" s="58"/>
      <c r="BB66" s="55"/>
      <c r="BC66" s="57"/>
      <c r="BD66" s="55"/>
      <c r="BF66" s="58"/>
      <c r="BG66" s="55"/>
      <c r="BH66" s="57"/>
      <c r="BI66" s="55"/>
      <c r="BK66" s="58"/>
      <c r="BL66" s="55"/>
      <c r="BM66" s="57"/>
      <c r="BN66" s="55"/>
      <c r="BP66" s="58"/>
      <c r="BQ66" s="55"/>
      <c r="BR66" s="57"/>
      <c r="BS66" s="55"/>
      <c r="BU66" s="58"/>
      <c r="BV66" s="55"/>
      <c r="BW66" s="57"/>
      <c r="BX66" s="55"/>
      <c r="BZ66" s="58"/>
      <c r="CA66" s="55"/>
      <c r="CB66" s="57"/>
      <c r="CC66" s="55"/>
      <c r="CE66" s="58"/>
      <c r="CF66" s="55"/>
      <c r="CG66" s="57"/>
      <c r="CH66" s="55"/>
    </row>
    <row r="67" spans="8:86" x14ac:dyDescent="0.2">
      <c r="H67" s="70">
        <f>N4</f>
        <v>1.005787037037037E-2</v>
      </c>
      <c r="L67" s="42"/>
      <c r="N67" s="55"/>
      <c r="O67" s="57"/>
      <c r="P67" s="55"/>
      <c r="Q67" s="113"/>
      <c r="R67" s="58"/>
      <c r="S67" s="55"/>
      <c r="T67" s="57"/>
      <c r="U67" s="55"/>
      <c r="W67" s="58"/>
      <c r="X67" s="55"/>
      <c r="Y67" s="57"/>
      <c r="Z67" s="55"/>
      <c r="AB67" s="58"/>
      <c r="AC67" s="55"/>
      <c r="AD67" s="57"/>
      <c r="AE67" s="55"/>
      <c r="AH67" s="55"/>
      <c r="AI67" s="57"/>
      <c r="AJ67" s="55"/>
      <c r="AL67" s="58"/>
      <c r="AM67" s="55"/>
      <c r="AN67" s="57"/>
      <c r="AO67" s="55"/>
      <c r="AQ67" s="58"/>
      <c r="AR67" s="55"/>
      <c r="AS67" s="57"/>
      <c r="AT67" s="55"/>
      <c r="AV67" s="58"/>
      <c r="AW67" s="55"/>
      <c r="AX67" s="57"/>
      <c r="AY67" s="55"/>
      <c r="BA67" s="58"/>
      <c r="BB67" s="55"/>
      <c r="BC67" s="57"/>
      <c r="BD67" s="55"/>
      <c r="BF67" s="58"/>
      <c r="BG67" s="55"/>
      <c r="BH67" s="57"/>
      <c r="BI67" s="55"/>
      <c r="BK67" s="58"/>
      <c r="BL67" s="55"/>
      <c r="BM67" s="57"/>
      <c r="BN67" s="55"/>
      <c r="BP67" s="58"/>
      <c r="BQ67" s="55"/>
      <c r="BR67" s="57"/>
      <c r="BS67" s="55"/>
      <c r="BU67" s="58"/>
      <c r="BV67" s="55"/>
      <c r="BW67" s="57"/>
      <c r="BX67" s="55"/>
      <c r="BZ67" s="58"/>
      <c r="CA67" s="55"/>
      <c r="CB67" s="57"/>
      <c r="CC67" s="55"/>
      <c r="CE67" s="58"/>
      <c r="CF67" s="55"/>
      <c r="CG67" s="57"/>
      <c r="CH67" s="55"/>
    </row>
    <row r="68" spans="8:86" x14ac:dyDescent="0.2">
      <c r="H68" s="70">
        <f t="shared" ref="H68:H75" si="58">N5</f>
        <v>9.1782407407407403E-3</v>
      </c>
      <c r="L68" s="42"/>
      <c r="N68" s="55"/>
      <c r="O68" s="57"/>
      <c r="P68" s="55"/>
      <c r="Q68" s="113"/>
      <c r="R68" s="58"/>
      <c r="S68" s="55"/>
      <c r="T68" s="57"/>
      <c r="U68" s="55"/>
      <c r="W68" s="58"/>
      <c r="X68" s="55"/>
      <c r="Y68" s="57"/>
      <c r="Z68" s="55"/>
      <c r="AB68" s="58"/>
      <c r="AC68" s="55"/>
      <c r="AD68" s="57"/>
      <c r="AE68" s="55"/>
      <c r="AH68" s="55"/>
      <c r="AI68" s="57"/>
      <c r="AJ68" s="55"/>
      <c r="AL68" s="58"/>
      <c r="AM68" s="55"/>
      <c r="AN68" s="57"/>
      <c r="AO68" s="55"/>
      <c r="AQ68" s="58"/>
      <c r="AR68" s="55"/>
      <c r="AS68" s="57"/>
      <c r="AT68" s="55"/>
      <c r="AV68" s="58"/>
      <c r="AW68" s="55"/>
      <c r="AX68" s="57"/>
      <c r="AY68" s="55"/>
      <c r="BA68" s="58"/>
      <c r="BB68" s="55"/>
      <c r="BC68" s="57"/>
      <c r="BD68" s="55"/>
      <c r="BF68" s="58"/>
      <c r="BG68" s="55"/>
      <c r="BH68" s="57"/>
      <c r="BI68" s="55"/>
      <c r="BK68" s="58"/>
      <c r="BL68" s="55"/>
      <c r="BM68" s="57"/>
      <c r="BN68" s="55"/>
      <c r="BP68" s="58"/>
      <c r="BQ68" s="55"/>
      <c r="BR68" s="57"/>
      <c r="BS68" s="55"/>
      <c r="BU68" s="58"/>
      <c r="BV68" s="55"/>
      <c r="BW68" s="57"/>
      <c r="BX68" s="55"/>
      <c r="BZ68" s="58"/>
      <c r="CA68" s="55"/>
      <c r="CB68" s="57"/>
      <c r="CC68" s="55"/>
      <c r="CE68" s="58"/>
      <c r="CF68" s="55"/>
      <c r="CG68" s="57"/>
      <c r="CH68" s="55"/>
    </row>
    <row r="69" spans="8:86" x14ac:dyDescent="0.2">
      <c r="H69" s="70">
        <f t="shared" si="58"/>
        <v>9.2939814814814812E-3</v>
      </c>
      <c r="L69" s="42"/>
      <c r="N69" s="55"/>
      <c r="O69" s="57"/>
      <c r="P69" s="55"/>
      <c r="Q69" s="113"/>
      <c r="R69" s="58"/>
      <c r="S69" s="55"/>
      <c r="T69" s="57"/>
      <c r="U69" s="55"/>
      <c r="W69" s="58"/>
      <c r="X69" s="55"/>
      <c r="Y69" s="57"/>
      <c r="Z69" s="55"/>
      <c r="AB69" s="58"/>
      <c r="AC69" s="55"/>
      <c r="AD69" s="57"/>
      <c r="AE69" s="55"/>
      <c r="AH69" s="55"/>
      <c r="AI69" s="57"/>
      <c r="AJ69" s="55"/>
      <c r="AL69" s="58"/>
      <c r="AM69" s="55"/>
      <c r="AN69" s="57"/>
      <c r="AO69" s="55"/>
      <c r="AQ69" s="58"/>
      <c r="AR69" s="55"/>
      <c r="AS69" s="57"/>
      <c r="AT69" s="55"/>
      <c r="AV69" s="58"/>
      <c r="AW69" s="55"/>
      <c r="AX69" s="57"/>
      <c r="AY69" s="55"/>
      <c r="BA69" s="58"/>
      <c r="BB69" s="55"/>
      <c r="BC69" s="57"/>
      <c r="BD69" s="55"/>
      <c r="BF69" s="58"/>
      <c r="BG69" s="55"/>
      <c r="BH69" s="57"/>
      <c r="BI69" s="55"/>
      <c r="BK69" s="58"/>
      <c r="BL69" s="55"/>
      <c r="BM69" s="57"/>
      <c r="BN69" s="55"/>
      <c r="BP69" s="58"/>
      <c r="BQ69" s="55"/>
      <c r="BR69" s="57"/>
      <c r="BS69" s="55"/>
      <c r="BU69" s="58"/>
      <c r="BV69" s="55"/>
      <c r="BW69" s="57"/>
      <c r="BX69" s="55"/>
      <c r="BZ69" s="58"/>
      <c r="CA69" s="55"/>
      <c r="CB69" s="57"/>
      <c r="CC69" s="55"/>
      <c r="CE69" s="58"/>
      <c r="CF69" s="55"/>
      <c r="CG69" s="57"/>
      <c r="CH69" s="55"/>
    </row>
    <row r="70" spans="8:86" x14ac:dyDescent="0.2">
      <c r="H70" s="70">
        <f t="shared" si="58"/>
        <v>9.3981481481481485E-3</v>
      </c>
      <c r="L70" s="42"/>
      <c r="N70" s="55"/>
      <c r="O70" s="57"/>
      <c r="P70" s="55"/>
      <c r="Q70" s="113"/>
      <c r="R70" s="58"/>
      <c r="S70" s="55"/>
      <c r="T70" s="57"/>
      <c r="U70" s="55"/>
      <c r="W70" s="58"/>
      <c r="X70" s="55"/>
      <c r="Y70" s="57"/>
      <c r="Z70" s="55"/>
      <c r="AB70" s="58"/>
      <c r="AC70" s="55"/>
      <c r="AD70" s="57"/>
      <c r="AE70" s="55"/>
      <c r="AH70" s="55"/>
      <c r="AI70" s="57"/>
      <c r="AJ70" s="55"/>
      <c r="AL70" s="58"/>
      <c r="AM70" s="55"/>
      <c r="AN70" s="57"/>
      <c r="AO70" s="55"/>
      <c r="AQ70" s="58"/>
      <c r="AR70" s="55"/>
      <c r="AS70" s="57"/>
      <c r="AT70" s="55"/>
      <c r="AV70" s="58"/>
      <c r="AW70" s="55"/>
      <c r="AX70" s="57"/>
      <c r="AY70" s="55"/>
      <c r="BA70" s="58"/>
      <c r="BB70" s="55"/>
      <c r="BC70" s="57"/>
      <c r="BD70" s="55"/>
      <c r="BF70" s="58"/>
      <c r="BG70" s="55"/>
      <c r="BH70" s="57"/>
      <c r="BI70" s="55"/>
      <c r="BK70" s="58"/>
      <c r="BL70" s="55"/>
      <c r="BM70" s="57"/>
      <c r="BN70" s="55"/>
      <c r="BP70" s="58"/>
      <c r="BQ70" s="55"/>
      <c r="BR70" s="57"/>
      <c r="BS70" s="55"/>
      <c r="BU70" s="58"/>
      <c r="BV70" s="55"/>
      <c r="BW70" s="57"/>
      <c r="BX70" s="55"/>
      <c r="BZ70" s="58"/>
      <c r="CA70" s="55"/>
      <c r="CB70" s="57"/>
      <c r="CC70" s="55"/>
      <c r="CE70" s="58"/>
      <c r="CF70" s="55"/>
      <c r="CG70" s="57"/>
      <c r="CH70" s="55"/>
    </row>
    <row r="71" spans="8:86" x14ac:dyDescent="0.2">
      <c r="H71" s="70">
        <f t="shared" si="58"/>
        <v>9.9189814814814817E-3</v>
      </c>
      <c r="L71" s="42"/>
      <c r="N71" s="55"/>
      <c r="O71" s="57"/>
      <c r="P71" s="55"/>
      <c r="Q71" s="113"/>
      <c r="R71" s="58"/>
      <c r="S71" s="55"/>
      <c r="T71" s="57"/>
      <c r="U71" s="55"/>
      <c r="W71" s="58"/>
      <c r="X71" s="55"/>
      <c r="Y71" s="57"/>
      <c r="Z71" s="55"/>
      <c r="AB71" s="58"/>
      <c r="AC71" s="55"/>
      <c r="AD71" s="57"/>
      <c r="AE71" s="55"/>
      <c r="AH71" s="55"/>
      <c r="AI71" s="57"/>
      <c r="AJ71" s="55"/>
      <c r="AL71" s="58"/>
      <c r="AM71" s="55"/>
      <c r="AN71" s="57"/>
      <c r="AO71" s="55"/>
      <c r="AQ71" s="58"/>
      <c r="AR71" s="55"/>
      <c r="AS71" s="57"/>
      <c r="AT71" s="55"/>
      <c r="AV71" s="58"/>
      <c r="AW71" s="55"/>
      <c r="AX71" s="57"/>
      <c r="AY71" s="55"/>
      <c r="BA71" s="58"/>
      <c r="BB71" s="55"/>
      <c r="BC71" s="57"/>
      <c r="BD71" s="55"/>
      <c r="BF71" s="58"/>
      <c r="BG71" s="55"/>
      <c r="BH71" s="57"/>
      <c r="BI71" s="55"/>
      <c r="BK71" s="58"/>
      <c r="BL71" s="55"/>
      <c r="BM71" s="57"/>
      <c r="BN71" s="55"/>
      <c r="BP71" s="58"/>
      <c r="BQ71" s="55"/>
      <c r="BR71" s="57"/>
      <c r="BS71" s="55"/>
      <c r="BU71" s="58"/>
      <c r="BV71" s="55"/>
      <c r="BW71" s="57"/>
      <c r="BX71" s="55"/>
      <c r="BZ71" s="58"/>
      <c r="CA71" s="55"/>
      <c r="CB71" s="57"/>
      <c r="CC71" s="55"/>
      <c r="CE71" s="58"/>
      <c r="CF71" s="55"/>
      <c r="CG71" s="57"/>
      <c r="CH71" s="55"/>
    </row>
    <row r="72" spans="8:86" x14ac:dyDescent="0.2">
      <c r="H72" s="70">
        <f t="shared" si="58"/>
        <v>9.0740740740740729E-3</v>
      </c>
      <c r="L72" s="42"/>
      <c r="N72" s="55"/>
      <c r="O72" s="57"/>
      <c r="P72" s="55"/>
      <c r="Q72" s="113"/>
      <c r="R72" s="58"/>
      <c r="S72" s="55"/>
      <c r="T72" s="57"/>
      <c r="U72" s="55"/>
      <c r="W72" s="58"/>
      <c r="X72" s="55"/>
      <c r="Y72" s="57"/>
      <c r="Z72" s="55"/>
      <c r="AB72" s="58"/>
      <c r="AC72" s="55"/>
      <c r="AD72" s="57"/>
      <c r="AE72" s="55"/>
      <c r="AH72" s="55"/>
      <c r="AI72" s="57"/>
      <c r="AJ72" s="55"/>
      <c r="AL72" s="58"/>
      <c r="AM72" s="55"/>
      <c r="AN72" s="57"/>
      <c r="AO72" s="55"/>
      <c r="AQ72" s="58"/>
      <c r="AR72" s="55"/>
      <c r="AS72" s="57"/>
      <c r="AT72" s="55"/>
      <c r="AV72" s="58"/>
      <c r="AW72" s="55"/>
      <c r="AX72" s="57"/>
      <c r="AY72" s="55"/>
      <c r="BA72" s="58"/>
      <c r="BB72" s="55"/>
      <c r="BC72" s="57"/>
      <c r="BD72" s="55"/>
      <c r="BF72" s="58"/>
      <c r="BG72" s="55"/>
      <c r="BH72" s="57"/>
      <c r="BI72" s="55"/>
      <c r="BK72" s="58"/>
      <c r="BL72" s="55"/>
      <c r="BM72" s="57"/>
      <c r="BN72" s="55"/>
      <c r="BP72" s="58"/>
      <c r="BQ72" s="55"/>
      <c r="BR72" s="57"/>
      <c r="BS72" s="55"/>
      <c r="BU72" s="58"/>
      <c r="BV72" s="55"/>
      <c r="BW72" s="57"/>
      <c r="BX72" s="55"/>
      <c r="BZ72" s="58"/>
      <c r="CA72" s="55"/>
      <c r="CB72" s="57"/>
      <c r="CC72" s="55"/>
      <c r="CE72" s="58"/>
      <c r="CF72" s="55"/>
      <c r="CG72" s="57"/>
      <c r="CH72" s="55"/>
    </row>
    <row r="73" spans="8:86" x14ac:dyDescent="0.2">
      <c r="H73" s="70">
        <f t="shared" si="58"/>
        <v>9.0972222222222218E-3</v>
      </c>
      <c r="L73" s="42"/>
      <c r="N73" s="55"/>
      <c r="O73" s="57"/>
      <c r="P73" s="55"/>
      <c r="Q73" s="113"/>
      <c r="R73" s="58"/>
      <c r="S73" s="55"/>
      <c r="T73" s="57"/>
      <c r="U73" s="55"/>
      <c r="W73" s="58"/>
      <c r="X73" s="55"/>
      <c r="Y73" s="57"/>
      <c r="Z73" s="55"/>
      <c r="AB73" s="58"/>
      <c r="AC73" s="55"/>
      <c r="AD73" s="57"/>
      <c r="AE73" s="55"/>
      <c r="AH73" s="55"/>
      <c r="AI73" s="57"/>
      <c r="AJ73" s="55"/>
      <c r="AL73" s="58"/>
      <c r="AM73" s="55"/>
      <c r="AN73" s="57"/>
      <c r="AO73" s="55"/>
      <c r="AQ73" s="58"/>
      <c r="AR73" s="55"/>
      <c r="AS73" s="57"/>
      <c r="AT73" s="55"/>
      <c r="AV73" s="58"/>
      <c r="AW73" s="55"/>
      <c r="AX73" s="57"/>
      <c r="AY73" s="55"/>
      <c r="BA73" s="58"/>
      <c r="BB73" s="55"/>
      <c r="BC73" s="57"/>
      <c r="BD73" s="55"/>
      <c r="BF73" s="58"/>
      <c r="BG73" s="55"/>
      <c r="BH73" s="57"/>
      <c r="BI73" s="55"/>
      <c r="BK73" s="58"/>
      <c r="BL73" s="55"/>
      <c r="BM73" s="57"/>
      <c r="BN73" s="55"/>
      <c r="BP73" s="58"/>
      <c r="BQ73" s="55"/>
      <c r="BR73" s="57"/>
      <c r="BS73" s="55"/>
      <c r="BU73" s="58"/>
      <c r="BV73" s="55"/>
      <c r="BW73" s="57"/>
      <c r="BX73" s="55"/>
      <c r="BZ73" s="58"/>
      <c r="CA73" s="55"/>
      <c r="CB73" s="57"/>
      <c r="CC73" s="55"/>
      <c r="CE73" s="58"/>
      <c r="CF73" s="55"/>
      <c r="CG73" s="57"/>
      <c r="CH73" s="55"/>
    </row>
    <row r="74" spans="8:86" x14ac:dyDescent="0.2">
      <c r="H74" s="70">
        <f t="shared" si="58"/>
        <v>9.7106481481481471E-3</v>
      </c>
      <c r="L74" s="42"/>
      <c r="N74" s="55"/>
      <c r="O74" s="57"/>
      <c r="P74" s="55"/>
      <c r="Q74" s="113"/>
      <c r="R74" s="58"/>
      <c r="S74" s="55"/>
      <c r="T74" s="57"/>
      <c r="U74" s="55"/>
      <c r="W74" s="58"/>
      <c r="X74" s="55"/>
      <c r="Y74" s="57"/>
      <c r="Z74" s="55"/>
      <c r="AB74" s="58"/>
      <c r="AC74" s="55"/>
      <c r="AD74" s="57"/>
      <c r="AE74" s="55"/>
      <c r="AH74" s="55"/>
      <c r="AI74" s="57"/>
      <c r="AJ74" s="55"/>
      <c r="AL74" s="58"/>
      <c r="AM74" s="55"/>
      <c r="AN74" s="57"/>
      <c r="AO74" s="55"/>
      <c r="AQ74" s="58"/>
      <c r="AR74" s="55"/>
      <c r="AS74" s="57"/>
      <c r="AT74" s="55"/>
      <c r="AV74" s="58"/>
      <c r="AW74" s="55"/>
      <c r="AX74" s="57"/>
      <c r="AY74" s="55"/>
      <c r="BA74" s="58"/>
      <c r="BB74" s="55"/>
      <c r="BC74" s="57"/>
      <c r="BD74" s="55"/>
      <c r="BF74" s="58"/>
      <c r="BG74" s="55"/>
      <c r="BH74" s="57"/>
      <c r="BI74" s="55"/>
      <c r="BK74" s="58"/>
      <c r="BL74" s="55"/>
      <c r="BM74" s="57"/>
      <c r="BN74" s="55"/>
      <c r="BP74" s="58"/>
      <c r="BQ74" s="55"/>
      <c r="BR74" s="57"/>
      <c r="BS74" s="55"/>
      <c r="BU74" s="58"/>
      <c r="BV74" s="55"/>
      <c r="BW74" s="57"/>
      <c r="BX74" s="55"/>
      <c r="BZ74" s="58"/>
      <c r="CA74" s="55"/>
      <c r="CB74" s="57"/>
      <c r="CC74" s="55"/>
      <c r="CE74" s="58"/>
      <c r="CF74" s="55"/>
      <c r="CG74" s="57"/>
      <c r="CH74" s="55"/>
    </row>
    <row r="75" spans="8:86" x14ac:dyDescent="0.2">
      <c r="H75" s="70">
        <f t="shared" si="58"/>
        <v>9.1087962962962971E-3</v>
      </c>
      <c r="L75" s="42"/>
      <c r="N75" s="55"/>
      <c r="O75" s="57"/>
      <c r="P75" s="55"/>
      <c r="Q75" s="113"/>
      <c r="R75" s="58"/>
      <c r="S75" s="55"/>
      <c r="T75" s="57"/>
      <c r="U75" s="55"/>
      <c r="W75" s="58"/>
      <c r="X75" s="55"/>
      <c r="Y75" s="57"/>
      <c r="Z75" s="55"/>
      <c r="AB75" s="58"/>
      <c r="AC75" s="55"/>
      <c r="AD75" s="57"/>
      <c r="AE75" s="55"/>
      <c r="AH75" s="55"/>
      <c r="AI75" s="57"/>
      <c r="AJ75" s="55"/>
      <c r="AL75" s="58"/>
      <c r="AM75" s="55"/>
      <c r="AN75" s="57"/>
      <c r="AO75" s="55"/>
      <c r="AQ75" s="58"/>
      <c r="AR75" s="55"/>
      <c r="AS75" s="57"/>
      <c r="AT75" s="55"/>
      <c r="AV75" s="58"/>
      <c r="AW75" s="55"/>
      <c r="AX75" s="57"/>
      <c r="AY75" s="55"/>
      <c r="BA75" s="58"/>
      <c r="BB75" s="55"/>
      <c r="BC75" s="57"/>
      <c r="BD75" s="55"/>
      <c r="BF75" s="58"/>
      <c r="BG75" s="55"/>
      <c r="BH75" s="57"/>
      <c r="BI75" s="55"/>
      <c r="BK75" s="58"/>
      <c r="BL75" s="55"/>
      <c r="BM75" s="57"/>
      <c r="BN75" s="55"/>
      <c r="BP75" s="58"/>
      <c r="BQ75" s="55"/>
      <c r="BR75" s="57"/>
      <c r="BS75" s="55"/>
      <c r="BU75" s="58"/>
      <c r="BV75" s="55"/>
      <c r="BW75" s="57"/>
      <c r="BX75" s="55"/>
      <c r="BZ75" s="58"/>
      <c r="CA75" s="55"/>
      <c r="CB75" s="57"/>
      <c r="CC75" s="55"/>
      <c r="CE75" s="58"/>
      <c r="CF75" s="55"/>
      <c r="CG75" s="57"/>
      <c r="CH75" s="55"/>
    </row>
    <row r="76" spans="8:86" x14ac:dyDescent="0.2">
      <c r="H76" s="70">
        <f>S4</f>
        <v>1.0798611111111111E-2</v>
      </c>
      <c r="L76" s="42"/>
      <c r="N76" s="55"/>
      <c r="O76" s="57"/>
      <c r="P76" s="55"/>
      <c r="Q76" s="113"/>
      <c r="R76" s="58"/>
      <c r="S76" s="55"/>
      <c r="T76" s="57"/>
      <c r="U76" s="55"/>
      <c r="W76" s="58"/>
      <c r="X76" s="55"/>
      <c r="Y76" s="57"/>
      <c r="Z76" s="55"/>
      <c r="AB76" s="58"/>
      <c r="AC76" s="55"/>
      <c r="AD76" s="57"/>
      <c r="AE76" s="55"/>
      <c r="AH76" s="55"/>
      <c r="AI76" s="57"/>
      <c r="AJ76" s="55"/>
      <c r="AL76" s="58"/>
      <c r="AM76" s="55"/>
      <c r="AN76" s="57"/>
      <c r="AO76" s="55"/>
      <c r="AQ76" s="58"/>
      <c r="AR76" s="55"/>
      <c r="AS76" s="57"/>
      <c r="AT76" s="55"/>
      <c r="AV76" s="58"/>
      <c r="AW76" s="55"/>
      <c r="AX76" s="57"/>
      <c r="AY76" s="55"/>
      <c r="BA76" s="58"/>
      <c r="BB76" s="55"/>
      <c r="BC76" s="57"/>
      <c r="BD76" s="55"/>
      <c r="BF76" s="58"/>
      <c r="BG76" s="55"/>
      <c r="BH76" s="57"/>
      <c r="BI76" s="55"/>
      <c r="BK76" s="58"/>
      <c r="BL76" s="55"/>
      <c r="BM76" s="57"/>
      <c r="BN76" s="55"/>
      <c r="BP76" s="58"/>
      <c r="BQ76" s="55"/>
      <c r="BR76" s="57"/>
      <c r="BS76" s="55"/>
      <c r="BU76" s="58"/>
      <c r="BV76" s="55"/>
      <c r="BW76" s="57"/>
      <c r="BX76" s="55"/>
      <c r="BZ76" s="58"/>
      <c r="CA76" s="55"/>
      <c r="CB76" s="57"/>
      <c r="CC76" s="55"/>
      <c r="CE76" s="58"/>
      <c r="CF76" s="55"/>
      <c r="CG76" s="57"/>
      <c r="CH76" s="55"/>
    </row>
    <row r="77" spans="8:86" x14ac:dyDescent="0.2">
      <c r="H77" s="70">
        <f t="shared" ref="H77:H84" si="59">S5</f>
        <v>1.1238425925925928E-2</v>
      </c>
      <c r="L77" s="42"/>
      <c r="N77" s="55"/>
      <c r="O77" s="57"/>
      <c r="P77" s="55"/>
      <c r="Q77" s="113"/>
      <c r="R77" s="58"/>
      <c r="S77" s="55"/>
      <c r="T77" s="57"/>
      <c r="U77" s="55"/>
      <c r="W77" s="58"/>
      <c r="X77" s="55"/>
      <c r="Y77" s="57"/>
      <c r="Z77" s="55"/>
      <c r="AB77" s="58"/>
      <c r="AC77" s="55"/>
      <c r="AD77" s="57"/>
      <c r="AE77" s="55"/>
      <c r="AH77" s="55"/>
      <c r="AI77" s="57"/>
      <c r="AJ77" s="55"/>
      <c r="AL77" s="58"/>
      <c r="AM77" s="55"/>
      <c r="AN77" s="57"/>
      <c r="AO77" s="55"/>
      <c r="AQ77" s="58"/>
      <c r="AR77" s="55"/>
      <c r="AS77" s="57"/>
      <c r="AT77" s="55"/>
      <c r="AV77" s="58"/>
      <c r="AW77" s="55"/>
      <c r="AX77" s="57"/>
      <c r="AY77" s="55"/>
      <c r="BA77" s="58"/>
      <c r="BB77" s="55"/>
      <c r="BC77" s="57"/>
      <c r="BD77" s="55"/>
      <c r="BF77" s="58"/>
      <c r="BG77" s="55"/>
      <c r="BH77" s="57"/>
      <c r="BI77" s="55"/>
      <c r="BK77" s="58"/>
      <c r="BL77" s="55"/>
      <c r="BM77" s="57"/>
      <c r="BN77" s="55"/>
      <c r="BP77" s="58"/>
      <c r="BQ77" s="55"/>
      <c r="BR77" s="57"/>
      <c r="BS77" s="55"/>
      <c r="BU77" s="58"/>
      <c r="BV77" s="55"/>
      <c r="BW77" s="57"/>
      <c r="BX77" s="55"/>
      <c r="BZ77" s="58"/>
      <c r="CA77" s="55"/>
      <c r="CB77" s="57"/>
      <c r="CC77" s="55"/>
      <c r="CE77" s="58"/>
      <c r="CF77" s="55"/>
      <c r="CG77" s="57"/>
      <c r="CH77" s="55"/>
    </row>
    <row r="78" spans="8:86" x14ac:dyDescent="0.2">
      <c r="H78" s="70">
        <f t="shared" si="59"/>
        <v>1.0173611111111111E-2</v>
      </c>
      <c r="L78" s="42"/>
      <c r="N78" s="55"/>
      <c r="O78" s="57"/>
      <c r="P78" s="55"/>
      <c r="Q78" s="113"/>
      <c r="R78" s="58"/>
      <c r="S78" s="55"/>
      <c r="T78" s="57"/>
      <c r="U78" s="55"/>
      <c r="W78" s="58"/>
      <c r="X78" s="55"/>
      <c r="Y78" s="57"/>
      <c r="Z78" s="55"/>
      <c r="AB78" s="58"/>
      <c r="AC78" s="55"/>
      <c r="AD78" s="57"/>
      <c r="AE78" s="55"/>
      <c r="AH78" s="55"/>
      <c r="AI78" s="57"/>
      <c r="AJ78" s="55"/>
      <c r="AL78" s="58"/>
      <c r="AM78" s="55"/>
      <c r="AN78" s="57"/>
      <c r="AO78" s="55"/>
      <c r="AQ78" s="58"/>
      <c r="AR78" s="55"/>
      <c r="AS78" s="57"/>
      <c r="AT78" s="55"/>
      <c r="AV78" s="58"/>
      <c r="AW78" s="55"/>
      <c r="AX78" s="57"/>
      <c r="AY78" s="55"/>
      <c r="BA78" s="58"/>
      <c r="BB78" s="55"/>
      <c r="BC78" s="57"/>
      <c r="BD78" s="55"/>
      <c r="BF78" s="58"/>
      <c r="BG78" s="55"/>
      <c r="BH78" s="57"/>
      <c r="BI78" s="55"/>
      <c r="BK78" s="58"/>
      <c r="BL78" s="55"/>
      <c r="BM78" s="57"/>
      <c r="BN78" s="55"/>
      <c r="BP78" s="58"/>
      <c r="BQ78" s="55"/>
      <c r="BR78" s="57"/>
      <c r="BS78" s="55"/>
      <c r="BU78" s="58"/>
      <c r="BV78" s="55"/>
      <c r="BW78" s="57"/>
      <c r="BX78" s="55"/>
      <c r="BZ78" s="58"/>
      <c r="CA78" s="55"/>
      <c r="CB78" s="57"/>
      <c r="CC78" s="55"/>
      <c r="CE78" s="58"/>
      <c r="CF78" s="55"/>
      <c r="CG78" s="57"/>
      <c r="CH78" s="55"/>
    </row>
    <row r="79" spans="8:86" x14ac:dyDescent="0.2">
      <c r="H79" s="70">
        <f t="shared" si="59"/>
        <v>1.0254629629629629E-2</v>
      </c>
      <c r="L79" s="42"/>
      <c r="N79" s="55"/>
      <c r="O79" s="57"/>
      <c r="P79" s="55"/>
      <c r="Q79" s="113"/>
      <c r="R79" s="58"/>
      <c r="S79" s="55"/>
      <c r="T79" s="57"/>
      <c r="U79" s="55"/>
      <c r="W79" s="58"/>
      <c r="X79" s="55"/>
      <c r="Y79" s="57"/>
      <c r="Z79" s="55"/>
      <c r="AB79" s="58"/>
      <c r="AC79" s="55"/>
      <c r="AD79" s="57"/>
      <c r="AE79" s="55"/>
      <c r="AH79" s="55"/>
      <c r="AI79" s="57"/>
      <c r="AJ79" s="55"/>
      <c r="AL79" s="58"/>
      <c r="AM79" s="55"/>
      <c r="AN79" s="57"/>
      <c r="AO79" s="55"/>
      <c r="AQ79" s="58"/>
      <c r="AR79" s="55"/>
      <c r="AS79" s="57"/>
      <c r="AT79" s="55"/>
      <c r="AV79" s="58"/>
      <c r="AW79" s="55"/>
      <c r="AX79" s="57"/>
      <c r="AY79" s="55"/>
      <c r="BA79" s="58"/>
      <c r="BB79" s="55"/>
      <c r="BC79" s="57"/>
      <c r="BD79" s="55"/>
      <c r="BF79" s="58"/>
      <c r="BG79" s="55"/>
      <c r="BH79" s="57"/>
      <c r="BI79" s="55"/>
      <c r="BK79" s="58"/>
      <c r="BL79" s="55"/>
      <c r="BM79" s="57"/>
      <c r="BN79" s="55"/>
      <c r="BP79" s="58"/>
      <c r="BQ79" s="55"/>
      <c r="BR79" s="57"/>
      <c r="BS79" s="55"/>
      <c r="BU79" s="58"/>
      <c r="BV79" s="55"/>
      <c r="BW79" s="57"/>
      <c r="BX79" s="55"/>
      <c r="BZ79" s="58"/>
      <c r="CA79" s="55"/>
      <c r="CB79" s="57"/>
      <c r="CC79" s="55"/>
      <c r="CE79" s="58"/>
      <c r="CF79" s="55"/>
      <c r="CG79" s="57"/>
      <c r="CH79" s="55"/>
    </row>
    <row r="80" spans="8:86" x14ac:dyDescent="0.2">
      <c r="H80" s="70">
        <f t="shared" si="59"/>
        <v>1.0034722222222221E-2</v>
      </c>
      <c r="L80" s="42"/>
      <c r="N80" s="55"/>
      <c r="O80" s="57"/>
      <c r="P80" s="55"/>
      <c r="Q80" s="113"/>
      <c r="R80" s="58"/>
      <c r="S80" s="55"/>
      <c r="T80" s="57"/>
      <c r="U80" s="55"/>
      <c r="W80" s="58"/>
      <c r="X80" s="55"/>
      <c r="Y80" s="57"/>
      <c r="Z80" s="55"/>
      <c r="AB80" s="58"/>
      <c r="AC80" s="55"/>
      <c r="AD80" s="57"/>
      <c r="AE80" s="55"/>
      <c r="AH80" s="55"/>
      <c r="AI80" s="57"/>
      <c r="AJ80" s="55"/>
      <c r="AL80" s="58"/>
      <c r="AM80" s="55"/>
      <c r="AN80" s="57"/>
      <c r="AO80" s="55"/>
      <c r="AQ80" s="58"/>
      <c r="AR80" s="55"/>
      <c r="AS80" s="57"/>
      <c r="AT80" s="55"/>
      <c r="AV80" s="58"/>
      <c r="AW80" s="55"/>
      <c r="AX80" s="57"/>
      <c r="AY80" s="55"/>
      <c r="BA80" s="58"/>
      <c r="BB80" s="55"/>
      <c r="BC80" s="57"/>
      <c r="BD80" s="55"/>
      <c r="BF80" s="58"/>
      <c r="BG80" s="55"/>
      <c r="BH80" s="57"/>
      <c r="BI80" s="55"/>
      <c r="BK80" s="58"/>
      <c r="BL80" s="55"/>
      <c r="BM80" s="57"/>
      <c r="BN80" s="55"/>
      <c r="BP80" s="58"/>
      <c r="BQ80" s="55"/>
      <c r="BR80" s="57"/>
      <c r="BS80" s="55"/>
      <c r="BU80" s="58"/>
      <c r="BV80" s="55"/>
      <c r="BW80" s="57"/>
      <c r="BX80" s="55"/>
      <c r="BZ80" s="58"/>
      <c r="CA80" s="55"/>
      <c r="CB80" s="57"/>
      <c r="CC80" s="55"/>
      <c r="CE80" s="58"/>
      <c r="CF80" s="55"/>
      <c r="CG80" s="57"/>
      <c r="CH80" s="55"/>
    </row>
    <row r="81" spans="8:86" x14ac:dyDescent="0.2">
      <c r="H81" s="70">
        <f t="shared" si="59"/>
        <v>9.7106481481481471E-3</v>
      </c>
      <c r="L81" s="42"/>
      <c r="N81" s="55"/>
      <c r="O81" s="57"/>
      <c r="P81" s="55"/>
      <c r="Q81" s="113"/>
      <c r="R81" s="58"/>
      <c r="S81" s="55"/>
      <c r="T81" s="57"/>
      <c r="U81" s="55"/>
      <c r="W81" s="58"/>
      <c r="X81" s="55"/>
      <c r="Y81" s="57"/>
      <c r="Z81" s="55"/>
      <c r="AB81" s="58"/>
      <c r="AC81" s="55"/>
      <c r="AD81" s="57"/>
      <c r="AE81" s="55"/>
      <c r="AH81" s="55"/>
      <c r="AI81" s="57"/>
      <c r="AJ81" s="55"/>
      <c r="AL81" s="58"/>
      <c r="AM81" s="55"/>
      <c r="AN81" s="57"/>
      <c r="AO81" s="55"/>
      <c r="AQ81" s="58"/>
      <c r="AR81" s="55"/>
      <c r="AS81" s="57"/>
      <c r="AT81" s="55"/>
      <c r="AV81" s="58"/>
      <c r="AW81" s="55"/>
      <c r="AX81" s="57"/>
      <c r="AY81" s="55"/>
      <c r="BA81" s="58"/>
      <c r="BB81" s="55"/>
      <c r="BC81" s="57"/>
      <c r="BD81" s="55"/>
      <c r="BF81" s="58"/>
      <c r="BG81" s="55"/>
      <c r="BH81" s="57"/>
      <c r="BI81" s="55"/>
      <c r="BK81" s="58"/>
      <c r="BL81" s="55"/>
      <c r="BM81" s="57"/>
      <c r="BN81" s="55"/>
      <c r="BP81" s="58"/>
      <c r="BQ81" s="55"/>
      <c r="BR81" s="57"/>
      <c r="BS81" s="55"/>
      <c r="BU81" s="58"/>
      <c r="BV81" s="55"/>
      <c r="BW81" s="57"/>
      <c r="BX81" s="55"/>
      <c r="BZ81" s="58"/>
      <c r="CA81" s="55"/>
      <c r="CB81" s="57"/>
      <c r="CC81" s="55"/>
      <c r="CE81" s="58"/>
      <c r="CF81" s="55"/>
      <c r="CG81" s="57"/>
      <c r="CH81" s="55"/>
    </row>
    <row r="82" spans="8:86" x14ac:dyDescent="0.2">
      <c r="H82" s="70">
        <f t="shared" si="59"/>
        <v>9.7916666666666655E-3</v>
      </c>
    </row>
    <row r="83" spans="8:86" x14ac:dyDescent="0.2">
      <c r="H83" s="70">
        <f t="shared" si="59"/>
        <v>9.6874999999999999E-3</v>
      </c>
    </row>
    <row r="84" spans="8:86" x14ac:dyDescent="0.2">
      <c r="H84" s="70">
        <f t="shared" si="59"/>
        <v>9.7337962962962977E-3</v>
      </c>
    </row>
    <row r="85" spans="8:86" x14ac:dyDescent="0.2">
      <c r="H85" s="70">
        <f>X4</f>
        <v>7.789351851851852E-3</v>
      </c>
    </row>
    <row r="86" spans="8:86" x14ac:dyDescent="0.2">
      <c r="H86" s="70">
        <f t="shared" ref="H86:H93" si="60">X5</f>
        <v>8.6689814814814806E-3</v>
      </c>
    </row>
    <row r="87" spans="8:86" x14ac:dyDescent="0.2">
      <c r="H87" s="70">
        <f t="shared" si="60"/>
        <v>8.4143518518518517E-3</v>
      </c>
    </row>
    <row r="88" spans="8:86" x14ac:dyDescent="0.2">
      <c r="H88" s="70">
        <f t="shared" si="60"/>
        <v>9.7106481481481471E-3</v>
      </c>
    </row>
    <row r="89" spans="8:86" x14ac:dyDescent="0.2">
      <c r="H89" s="70">
        <f t="shared" si="60"/>
        <v>8.9351851851851866E-3</v>
      </c>
    </row>
    <row r="90" spans="8:86" x14ac:dyDescent="0.2">
      <c r="H90" s="70">
        <f t="shared" si="60"/>
        <v>9.0972222222222218E-3</v>
      </c>
    </row>
    <row r="91" spans="8:86" x14ac:dyDescent="0.2">
      <c r="H91" s="70">
        <f t="shared" si="60"/>
        <v>8.8888888888888889E-3</v>
      </c>
    </row>
    <row r="92" spans="8:86" x14ac:dyDescent="0.2">
      <c r="H92" s="70">
        <f t="shared" si="60"/>
        <v>8.9351851851851866E-3</v>
      </c>
    </row>
    <row r="93" spans="8:86" x14ac:dyDescent="0.2">
      <c r="H93" s="70">
        <f t="shared" si="60"/>
        <v>8.9351851851851866E-3</v>
      </c>
    </row>
  </sheetData>
  <mergeCells count="1">
    <mergeCell ref="A26:E26"/>
  </mergeCells>
  <phoneticPr fontId="0" type="noConversion"/>
  <dataValidations count="9">
    <dataValidation type="list" allowBlank="1" showInputMessage="1" showErrorMessage="1" sqref="AL4 R16 AG16 R4 W16 AG4 H4 M4 H16 AB4 M16 AL16 AQ4 W4 AB16 AQ16">
      <formula1>$B$29:$E$29</formula1>
    </dataValidation>
    <dataValidation type="list" allowBlank="1" showInputMessage="1" showErrorMessage="1" sqref="H5 M5 R5 W5 AB5 AG5 AL5 AQ5 H17 M17 R17 W17 AB17 AG17 AL17 AQ17">
      <formula1>$B$30:$E$30</formula1>
    </dataValidation>
    <dataValidation type="list" allowBlank="1" showInputMessage="1" showErrorMessage="1" sqref="H6 M6 R6 W6 AB6 AG6 AL6 AQ6 H18 M18 R18 W18 AB18 AG18 AL18 AQ18">
      <formula1>$B$31:$E$31</formula1>
    </dataValidation>
    <dataValidation type="list" allowBlank="1" showInputMessage="1" showErrorMessage="1" sqref="H7 M7 R7 W7 AB7 AG7 AL7 AQ7 H19 M19 R19 W19 AB19 AG19 AL19 AQ19">
      <formula1>$B$32:$E$32</formula1>
    </dataValidation>
    <dataValidation type="list" allowBlank="1" showInputMessage="1" showErrorMessage="1" sqref="H8 M8 R8 W8 AB8 AG8 AL8 AQ8 H20 M20 R20 W20 AB20 AG20 AL20 AQ20">
      <formula1>$B$33:$E$33</formula1>
    </dataValidation>
    <dataValidation type="list" allowBlank="1" showInputMessage="1" showErrorMessage="1" sqref="AQ21 H9 M9 R9 W9 AB9 AG9 AL9 AQ9 H21 M21 R21 W21 AB21 AG21 AL21">
      <formula1>$B$34:$E$34</formula1>
    </dataValidation>
    <dataValidation type="list" allowBlank="1" showInputMessage="1" showErrorMessage="1" sqref="H10 M10 R10 W10 AB10 AG10 AL10 AQ10 AQ22 AL22 AG22 AB22 W22 R22 M22 H22">
      <formula1>$B$35:$E$35</formula1>
    </dataValidation>
    <dataValidation type="list" allowBlank="1" showInputMessage="1" showErrorMessage="1" sqref="H11 M11 R11 W11 AB11 AG11 AL11 AQ11 AQ23 AL23 H23 AB23 W23 R23 M23 AG23">
      <formula1>$B$36:$E$36</formula1>
    </dataValidation>
    <dataValidation type="list" allowBlank="1" showInputMessage="1" showErrorMessage="1" sqref="H12 M12 R12 W12 AB12 AG12 AL12 AQ12 AQ24 AL24 AG24 AB24 W24 R24 M24 H24">
      <formula1>$B$37:$E$37</formula1>
    </dataValidation>
  </dataValidations>
  <pageMargins left="0.36" right="0.59" top="1" bottom="1" header="0.5" footer="0.5"/>
  <pageSetup paperSize="9" scale="32" orientation="landscape" horizontalDpi="300" verticalDpi="300" r:id="rId1"/>
  <headerFooter alignWithMargins="0"/>
  <ignoredErrors>
    <ignoredError sqref="H58 H59:H9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BO23"/>
  <sheetViews>
    <sheetView showZeros="0" zoomScale="85" zoomScaleNormal="85" workbookViewId="0">
      <pane xSplit="1" topLeftCell="B1" activePane="topRight" state="frozen"/>
      <selection pane="topRight"/>
    </sheetView>
  </sheetViews>
  <sheetFormatPr defaultRowHeight="12.75" x14ac:dyDescent="0.2"/>
  <cols>
    <col min="1" max="1" width="24.140625" style="32" customWidth="1"/>
    <col min="2" max="2" width="14.85546875" style="88" bestFit="1" customWidth="1"/>
    <col min="3" max="3" width="6.7109375" style="32" customWidth="1"/>
    <col min="4" max="4" width="11.42578125" style="32" customWidth="1"/>
    <col min="5" max="5" width="15.7109375" style="144" customWidth="1"/>
    <col min="6" max="6" width="6.7109375" style="145" customWidth="1"/>
    <col min="7" max="7" width="12.7109375" style="145" bestFit="1" customWidth="1"/>
    <col min="8" max="8" width="15.7109375" style="144" customWidth="1"/>
    <col min="9" max="9" width="6.7109375" style="145" customWidth="1"/>
    <col min="10" max="10" width="12.7109375" style="145" bestFit="1" customWidth="1"/>
    <col min="11" max="11" width="15.7109375" style="88" customWidth="1"/>
    <col min="12" max="12" width="6.7109375" style="32" customWidth="1"/>
    <col min="13" max="13" width="11" style="32" bestFit="1" customWidth="1"/>
    <col min="14" max="14" width="15.7109375" style="88" customWidth="1"/>
    <col min="15" max="15" width="6.7109375" style="32" customWidth="1"/>
    <col min="16" max="16" width="11" style="32" bestFit="1" customWidth="1"/>
    <col min="17" max="17" width="15.7109375" style="88" customWidth="1"/>
    <col min="18" max="18" width="6.7109375" style="32" customWidth="1"/>
    <col min="19" max="19" width="11" style="32" bestFit="1" customWidth="1"/>
    <col min="20" max="20" width="15.7109375" style="88" customWidth="1"/>
    <col min="21" max="21" width="6.7109375" style="32" customWidth="1"/>
    <col min="22" max="22" width="11" style="32" bestFit="1" customWidth="1"/>
    <col min="23" max="23" width="15.7109375" style="88" customWidth="1"/>
    <col min="24" max="24" width="6.7109375" style="32" customWidth="1"/>
    <col min="25" max="25" width="11" style="32" bestFit="1" customWidth="1"/>
    <col min="26" max="26" width="15.140625" style="88" bestFit="1" customWidth="1"/>
    <col min="27" max="27" width="6.7109375" style="32" customWidth="1"/>
    <col min="28" max="28" width="11" style="32" bestFit="1" customWidth="1"/>
    <col min="29" max="29" width="15.7109375" style="88" customWidth="1"/>
    <col min="30" max="30" width="6.7109375" style="32" customWidth="1"/>
    <col min="31" max="31" width="11" style="32" bestFit="1" customWidth="1"/>
    <col min="32" max="32" width="15.7109375" style="88" customWidth="1"/>
    <col min="33" max="33" width="6.7109375" style="32" customWidth="1"/>
    <col min="34" max="34" width="11" style="32" bestFit="1" customWidth="1"/>
    <col min="35" max="35" width="15.7109375" style="88" customWidth="1"/>
    <col min="36" max="36" width="6.7109375" style="32" customWidth="1"/>
    <col min="37" max="37" width="11" style="32" bestFit="1" customWidth="1"/>
    <col min="38" max="38" width="15.7109375" style="88" customWidth="1"/>
    <col min="39" max="39" width="6.7109375" style="32" customWidth="1"/>
    <col min="40" max="40" width="11" style="32" bestFit="1" customWidth="1"/>
    <col min="41" max="41" width="15.7109375" style="88" customWidth="1"/>
    <col min="42" max="42" width="6.7109375" style="32" customWidth="1"/>
    <col min="43" max="43" width="11" style="32" bestFit="1" customWidth="1"/>
    <col min="44" max="44" width="15.7109375" style="88" customWidth="1"/>
    <col min="45" max="45" width="6.7109375" style="32" customWidth="1"/>
    <col min="46" max="46" width="11" style="32" bestFit="1" customWidth="1"/>
    <col min="47" max="47" width="15.7109375" style="88" customWidth="1"/>
    <col min="48" max="48" width="6.7109375" style="32" customWidth="1"/>
    <col min="49" max="49" width="11" style="32" bestFit="1" customWidth="1"/>
    <col min="50" max="50" width="52.140625" style="105" customWidth="1"/>
    <col min="51" max="51" width="16" style="105" customWidth="1"/>
    <col min="52" max="67" width="9.140625" style="105"/>
    <col min="68" max="16384" width="9.140625" style="32"/>
  </cols>
  <sheetData>
    <row r="2" spans="1:67" x14ac:dyDescent="0.2">
      <c r="B2" s="96" t="s">
        <v>5</v>
      </c>
      <c r="C2" s="97"/>
      <c r="D2" s="98"/>
      <c r="E2" s="135" t="s">
        <v>12</v>
      </c>
      <c r="F2" s="136"/>
      <c r="G2" s="137"/>
      <c r="H2" s="96" t="s">
        <v>13</v>
      </c>
      <c r="I2" s="97"/>
      <c r="J2" s="98"/>
      <c r="K2" s="96" t="s">
        <v>14</v>
      </c>
      <c r="L2" s="97"/>
      <c r="M2" s="98"/>
      <c r="N2" s="96" t="s">
        <v>15</v>
      </c>
      <c r="O2" s="97"/>
      <c r="P2" s="98"/>
      <c r="Q2" s="96" t="s">
        <v>16</v>
      </c>
      <c r="R2" s="97"/>
      <c r="S2" s="98"/>
      <c r="T2" s="96" t="s">
        <v>17</v>
      </c>
      <c r="U2" s="97"/>
      <c r="V2" s="98"/>
      <c r="W2" s="96" t="s">
        <v>18</v>
      </c>
      <c r="X2" s="97"/>
      <c r="Y2" s="98"/>
      <c r="Z2" s="96" t="s">
        <v>21</v>
      </c>
      <c r="AA2" s="97"/>
      <c r="AB2" s="98"/>
      <c r="AC2" s="96" t="s">
        <v>22</v>
      </c>
      <c r="AD2" s="97"/>
      <c r="AE2" s="98"/>
      <c r="AF2" s="96" t="s">
        <v>23</v>
      </c>
      <c r="AG2" s="97"/>
      <c r="AH2" s="98"/>
      <c r="AI2" s="96" t="s">
        <v>24</v>
      </c>
      <c r="AJ2" s="97"/>
      <c r="AK2" s="98"/>
      <c r="AL2" s="96" t="s">
        <v>25</v>
      </c>
      <c r="AM2" s="97"/>
      <c r="AN2" s="98"/>
      <c r="AO2" s="96" t="s">
        <v>26</v>
      </c>
      <c r="AP2" s="97"/>
      <c r="AQ2" s="98"/>
      <c r="AR2" s="96" t="s">
        <v>48</v>
      </c>
      <c r="AS2" s="97"/>
      <c r="AT2" s="98"/>
      <c r="AU2" s="96" t="s">
        <v>49</v>
      </c>
      <c r="AV2" s="97"/>
      <c r="AW2" s="98"/>
    </row>
    <row r="3" spans="1:67" s="34" customFormat="1" ht="20.100000000000001" customHeight="1" x14ac:dyDescent="0.2">
      <c r="A3" s="89" t="s">
        <v>0</v>
      </c>
      <c r="B3" s="90" t="s">
        <v>6</v>
      </c>
      <c r="C3" s="91" t="s">
        <v>7</v>
      </c>
      <c r="D3" s="92" t="s">
        <v>41</v>
      </c>
      <c r="E3" s="138" t="s">
        <v>6</v>
      </c>
      <c r="F3" s="139" t="s">
        <v>7</v>
      </c>
      <c r="G3" s="140" t="s">
        <v>41</v>
      </c>
      <c r="H3" s="138" t="s">
        <v>6</v>
      </c>
      <c r="I3" s="139" t="s">
        <v>7</v>
      </c>
      <c r="J3" s="140" t="s">
        <v>41</v>
      </c>
      <c r="K3" s="93" t="s">
        <v>6</v>
      </c>
      <c r="L3" s="94" t="s">
        <v>7</v>
      </c>
      <c r="M3" s="95" t="s">
        <v>41</v>
      </c>
      <c r="N3" s="93" t="s">
        <v>6</v>
      </c>
      <c r="O3" s="94" t="s">
        <v>7</v>
      </c>
      <c r="P3" s="95" t="s">
        <v>41</v>
      </c>
      <c r="Q3" s="93" t="s">
        <v>6</v>
      </c>
      <c r="R3" s="94" t="s">
        <v>7</v>
      </c>
      <c r="S3" s="95" t="s">
        <v>41</v>
      </c>
      <c r="T3" s="93" t="s">
        <v>6</v>
      </c>
      <c r="U3" s="94" t="s">
        <v>7</v>
      </c>
      <c r="V3" s="95" t="s">
        <v>41</v>
      </c>
      <c r="W3" s="93" t="s">
        <v>6</v>
      </c>
      <c r="X3" s="94" t="s">
        <v>7</v>
      </c>
      <c r="Y3" s="95" t="s">
        <v>41</v>
      </c>
      <c r="Z3" s="93" t="s">
        <v>6</v>
      </c>
      <c r="AA3" s="94" t="s">
        <v>7</v>
      </c>
      <c r="AB3" s="95" t="s">
        <v>41</v>
      </c>
      <c r="AC3" s="93" t="s">
        <v>6</v>
      </c>
      <c r="AD3" s="94" t="s">
        <v>7</v>
      </c>
      <c r="AE3" s="95" t="s">
        <v>41</v>
      </c>
      <c r="AF3" s="93" t="s">
        <v>6</v>
      </c>
      <c r="AG3" s="94" t="s">
        <v>7</v>
      </c>
      <c r="AH3" s="95" t="s">
        <v>41</v>
      </c>
      <c r="AI3" s="93" t="s">
        <v>6</v>
      </c>
      <c r="AJ3" s="94" t="s">
        <v>7</v>
      </c>
      <c r="AK3" s="95" t="s">
        <v>41</v>
      </c>
      <c r="AL3" s="93" t="s">
        <v>6</v>
      </c>
      <c r="AM3" s="94" t="s">
        <v>7</v>
      </c>
      <c r="AN3" s="95" t="s">
        <v>41</v>
      </c>
      <c r="AO3" s="93" t="s">
        <v>6</v>
      </c>
      <c r="AP3" s="94" t="s">
        <v>7</v>
      </c>
      <c r="AQ3" s="95" t="s">
        <v>41</v>
      </c>
      <c r="AR3" s="93" t="s">
        <v>6</v>
      </c>
      <c r="AS3" s="94" t="s">
        <v>7</v>
      </c>
      <c r="AT3" s="95" t="s">
        <v>41</v>
      </c>
      <c r="AU3" s="93" t="s">
        <v>6</v>
      </c>
      <c r="AV3" s="94" t="s">
        <v>7</v>
      </c>
      <c r="AW3" s="95" t="s">
        <v>41</v>
      </c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</row>
    <row r="4" spans="1:67" s="34" customFormat="1" ht="20.100000000000001" customHeight="1" x14ac:dyDescent="0.2">
      <c r="A4" s="84" t="str">
        <f>'Team Selection'!B3</f>
        <v>Big Trouble in Little Tokyo</v>
      </c>
      <c r="B4" s="85" t="str">
        <f>'Stage Entry'!H4</f>
        <v>Garth Calder</v>
      </c>
      <c r="C4" s="86">
        <f>'Stage Entry'!I4</f>
        <v>9.0856481481481483E-3</v>
      </c>
      <c r="D4" s="87">
        <f t="shared" ref="D4" si="0">C4</f>
        <v>9.0856481481481483E-3</v>
      </c>
      <c r="E4" s="85" t="str">
        <f>'Stage Entry'!M4</f>
        <v>Katie Seibold</v>
      </c>
      <c r="F4" s="86">
        <f>'Stage Entry'!N4</f>
        <v>1.005787037037037E-2</v>
      </c>
      <c r="G4" s="87">
        <f t="shared" ref="G4" si="1">D4+F4</f>
        <v>1.9143518518518518E-2</v>
      </c>
      <c r="H4" s="85" t="str">
        <f>'Stage Entry'!R4</f>
        <v>Matt Clark</v>
      </c>
      <c r="I4" s="86">
        <f>'Stage Entry'!S4</f>
        <v>1.0798611111111111E-2</v>
      </c>
      <c r="J4" s="87">
        <f t="shared" ref="J4" si="2">G4+I4</f>
        <v>2.9942129629629631E-2</v>
      </c>
      <c r="K4" s="85" t="str">
        <f>'Stage Entry'!W4</f>
        <v>Simon Bevege</v>
      </c>
      <c r="L4" s="86">
        <f>'Stage Entry'!X4</f>
        <v>7.789351851851852E-3</v>
      </c>
      <c r="M4" s="87">
        <f t="shared" ref="M4" si="3">J4+L4</f>
        <v>3.7731481481481484E-2</v>
      </c>
      <c r="N4" s="85" t="str">
        <f>'Stage Entry'!AB4</f>
        <v>Garth Calder</v>
      </c>
      <c r="O4" s="86">
        <f>'Stage Entry'!AC4</f>
        <v>1.1944444444444445E-2</v>
      </c>
      <c r="P4" s="87">
        <f t="shared" ref="P4" si="4">M4+O4</f>
        <v>4.9675925925925929E-2</v>
      </c>
      <c r="Q4" s="85" t="str">
        <f>'Stage Entry'!AG4</f>
        <v>Katie Seibold</v>
      </c>
      <c r="R4" s="86">
        <f>'Stage Entry'!AH4</f>
        <v>1.1331018518518518E-2</v>
      </c>
      <c r="S4" s="87">
        <f t="shared" ref="S4" si="5">P4+R4</f>
        <v>6.1006944444444447E-2</v>
      </c>
      <c r="T4" s="85" t="str">
        <f>'Stage Entry'!AL4</f>
        <v>Matt Clark</v>
      </c>
      <c r="U4" s="86">
        <f>'Stage Entry'!AM4</f>
        <v>8.518518518518519E-3</v>
      </c>
      <c r="V4" s="87">
        <f t="shared" ref="V4" si="6">S4+U4</f>
        <v>6.9525462962962969E-2</v>
      </c>
      <c r="W4" s="85" t="str">
        <f>'Stage Entry'!AQ4</f>
        <v>Simon Bevege</v>
      </c>
      <c r="X4" s="86">
        <f>'Stage Entry'!AR4</f>
        <v>1.2418981481481482E-2</v>
      </c>
      <c r="Y4" s="87">
        <f t="shared" ref="Y4" si="7">V4+X4</f>
        <v>8.1944444444444459E-2</v>
      </c>
      <c r="Z4" s="85" t="str">
        <f>'Stage Entry'!H16</f>
        <v>Matt Clark</v>
      </c>
      <c r="AA4" s="86">
        <f>'Stage Entry'!I16</f>
        <v>1.3020833333333334E-2</v>
      </c>
      <c r="AB4" s="87">
        <f t="shared" ref="AB4" si="8">Y4+AA4</f>
        <v>9.4965277777777787E-2</v>
      </c>
      <c r="AC4" s="85" t="str">
        <f>'Stage Entry'!M16</f>
        <v>Garth Calder</v>
      </c>
      <c r="AD4" s="86">
        <f>'Stage Entry'!N16</f>
        <v>1.0925925925925924E-2</v>
      </c>
      <c r="AE4" s="87">
        <f t="shared" ref="AE4" si="9">AB4+AD4</f>
        <v>0.10589120370370371</v>
      </c>
      <c r="AF4" s="85" t="str">
        <f>'Stage Entry'!R16</f>
        <v>Simon Bevege</v>
      </c>
      <c r="AG4" s="86">
        <f>'Stage Entry'!S16</f>
        <v>1.2349537037037039E-2</v>
      </c>
      <c r="AH4" s="87">
        <f t="shared" ref="AH4" si="10">AE4+AG4</f>
        <v>0.11824074074074074</v>
      </c>
      <c r="AI4" s="85" t="str">
        <f>'Stage Entry'!W16</f>
        <v>Katie Seibold</v>
      </c>
      <c r="AJ4" s="86">
        <f>'Stage Entry'!X16</f>
        <v>1.2210648148148146E-2</v>
      </c>
      <c r="AK4" s="87">
        <f t="shared" ref="AK4" si="11">AH4+AJ4</f>
        <v>0.13045138888888888</v>
      </c>
      <c r="AL4" s="85" t="str">
        <f>'Stage Entry'!AB16</f>
        <v>Simon Bevege</v>
      </c>
      <c r="AM4" s="86">
        <f>'Stage Entry'!AC16</f>
        <v>1.0937500000000001E-2</v>
      </c>
      <c r="AN4" s="87">
        <f t="shared" ref="AN4" si="12">AK4+AM4</f>
        <v>0.14138888888888887</v>
      </c>
      <c r="AO4" s="85" t="str">
        <f>'Stage Entry'!AG16</f>
        <v>Katie Seibold</v>
      </c>
      <c r="AP4" s="86">
        <f>'Stage Entry'!AH16</f>
        <v>1.1342592592592592E-2</v>
      </c>
      <c r="AQ4" s="87">
        <f t="shared" ref="AQ4" si="13">AN4+AP4</f>
        <v>0.15273148148148147</v>
      </c>
      <c r="AR4" s="85" t="str">
        <f>'Stage Entry'!AL16</f>
        <v>Garth Calder</v>
      </c>
      <c r="AS4" s="86">
        <f>'Stage Entry'!AM16</f>
        <v>1.0775462962962964E-2</v>
      </c>
      <c r="AT4" s="87">
        <f t="shared" ref="AT4" si="14">AQ4+AS4</f>
        <v>0.16350694444444444</v>
      </c>
      <c r="AU4" s="85" t="str">
        <f>'Stage Entry'!AQ16</f>
        <v>Matt Clark</v>
      </c>
      <c r="AV4" s="86">
        <f>'Stage Entry'!AR16</f>
        <v>1.1574074074074075E-2</v>
      </c>
      <c r="AW4" s="87">
        <f t="shared" ref="AW4" si="15">AT4+AV4</f>
        <v>0.17508101851851851</v>
      </c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</row>
    <row r="5" spans="1:67" s="34" customFormat="1" ht="20.100000000000001" customHeight="1" x14ac:dyDescent="0.2">
      <c r="A5" s="84" t="str">
        <f>'Team Selection'!B4</f>
        <v>Maroon 4</v>
      </c>
      <c r="B5" s="85" t="str">
        <f>'Stage Entry'!H5</f>
        <v>Clem Scott</v>
      </c>
      <c r="C5" s="86">
        <f>'Stage Entry'!I5</f>
        <v>8.9120370370370378E-3</v>
      </c>
      <c r="D5" s="87">
        <f t="shared" ref="D5:D12" si="16">C5</f>
        <v>8.9120370370370378E-3</v>
      </c>
      <c r="E5" s="85" t="str">
        <f>'Stage Entry'!M5</f>
        <v>Dan Langelaan</v>
      </c>
      <c r="F5" s="86">
        <f>'Stage Entry'!N5</f>
        <v>9.1782407407407403E-3</v>
      </c>
      <c r="G5" s="87">
        <f t="shared" ref="G5:G12" si="17">D5+F5</f>
        <v>1.8090277777777778E-2</v>
      </c>
      <c r="H5" s="85" t="str">
        <f>'Stage Entry'!R5</f>
        <v>Elisa Mooren</v>
      </c>
      <c r="I5" s="86">
        <f>'Stage Entry'!S5</f>
        <v>1.1238425925925928E-2</v>
      </c>
      <c r="J5" s="87">
        <f t="shared" ref="J5:J12" si="18">G5+I5</f>
        <v>2.9328703703703704E-2</v>
      </c>
      <c r="K5" s="85" t="str">
        <f>'Stage Entry'!W5</f>
        <v>Andrew Coles</v>
      </c>
      <c r="L5" s="86">
        <f>'Stage Entry'!X5</f>
        <v>8.6689814814814806E-3</v>
      </c>
      <c r="M5" s="87">
        <f t="shared" ref="M5:M12" si="19">J5+L5</f>
        <v>3.7997685185185183E-2</v>
      </c>
      <c r="N5" s="85" t="str">
        <f>'Stage Entry'!AB5</f>
        <v>Clem Scott</v>
      </c>
      <c r="O5" s="86">
        <f>'Stage Entry'!AC5</f>
        <v>1.1412037037037038E-2</v>
      </c>
      <c r="P5" s="87">
        <f t="shared" ref="P5:P12" si="20">M5+O5</f>
        <v>4.9409722222222223E-2</v>
      </c>
      <c r="Q5" s="85" t="str">
        <f>'Stage Entry'!AG5</f>
        <v>Dan Langelaan</v>
      </c>
      <c r="R5" s="86">
        <f>'Stage Entry'!AH5</f>
        <v>1.0578703703703703E-2</v>
      </c>
      <c r="S5" s="87">
        <f t="shared" ref="S5:S12" si="21">P5+R5</f>
        <v>5.9988425925925924E-2</v>
      </c>
      <c r="T5" s="85" t="str">
        <f>'Stage Entry'!AL5</f>
        <v>Elisa Mooren</v>
      </c>
      <c r="U5" s="86">
        <f>'Stage Entry'!AM5</f>
        <v>8.8078703703703704E-3</v>
      </c>
      <c r="V5" s="87">
        <f t="shared" ref="V5:V12" si="22">S5+U5</f>
        <v>6.87962962962963E-2</v>
      </c>
      <c r="W5" s="85" t="str">
        <f>'Stage Entry'!AQ5</f>
        <v>Andrew Coles</v>
      </c>
      <c r="X5" s="86">
        <f>'Stage Entry'!AR5</f>
        <v>1.4166666666666666E-2</v>
      </c>
      <c r="Y5" s="87">
        <f t="shared" ref="Y5:Y12" si="23">V5+X5</f>
        <v>8.2962962962962961E-2</v>
      </c>
      <c r="Z5" s="85" t="str">
        <f>'Stage Entry'!H17</f>
        <v>Elisa Mooren</v>
      </c>
      <c r="AA5" s="86">
        <f>'Stage Entry'!I17</f>
        <v>1.3043981481481483E-2</v>
      </c>
      <c r="AB5" s="87">
        <f t="shared" ref="AB5:AB12" si="24">Y5+AA5</f>
        <v>9.6006944444444436E-2</v>
      </c>
      <c r="AC5" s="85" t="str">
        <f>'Stage Entry'!M17</f>
        <v>Clem Scott</v>
      </c>
      <c r="AD5" s="86">
        <f>'Stage Entry'!N17</f>
        <v>1.042824074074074E-2</v>
      </c>
      <c r="AE5" s="87">
        <f t="shared" ref="AE5:AE12" si="25">AB5+AD5</f>
        <v>0.10643518518518517</v>
      </c>
      <c r="AF5" s="85" t="str">
        <f>'Stage Entry'!R17</f>
        <v>Andrew Coles</v>
      </c>
      <c r="AG5" s="86">
        <f>'Stage Entry'!S17</f>
        <v>1.3796296296296298E-2</v>
      </c>
      <c r="AH5" s="87">
        <f t="shared" ref="AH5:AH12" si="26">AE5+AG5</f>
        <v>0.12023148148148147</v>
      </c>
      <c r="AI5" s="85" t="str">
        <f>'Stage Entry'!W17</f>
        <v>Dan Langelaan</v>
      </c>
      <c r="AJ5" s="86">
        <f>'Stage Entry'!X17</f>
        <v>1.1284722222222222E-2</v>
      </c>
      <c r="AK5" s="87">
        <f t="shared" ref="AK5:AK12" si="27">AH5+AJ5</f>
        <v>0.13151620370370368</v>
      </c>
      <c r="AL5" s="85" t="str">
        <f>'Stage Entry'!AB17</f>
        <v>Clem Scott</v>
      </c>
      <c r="AM5" s="86">
        <f>'Stage Entry'!AC17</f>
        <v>1.2743055555555556E-2</v>
      </c>
      <c r="AN5" s="87">
        <f t="shared" ref="AN5:AN12" si="28">AK5+AM5</f>
        <v>0.14425925925925923</v>
      </c>
      <c r="AO5" s="85" t="str">
        <f>'Stage Entry'!AG17</f>
        <v>Elisa Mooren</v>
      </c>
      <c r="AP5" s="86">
        <f>'Stage Entry'!AH17</f>
        <v>1.3495370370370371E-2</v>
      </c>
      <c r="AQ5" s="87">
        <f t="shared" ref="AQ5:AQ12" si="29">AN5+AP5</f>
        <v>0.15775462962962961</v>
      </c>
      <c r="AR5" s="85" t="str">
        <f>'Stage Entry'!AL17</f>
        <v>Andrew Coles</v>
      </c>
      <c r="AS5" s="86">
        <f>'Stage Entry'!AM17</f>
        <v>1.0150462962962964E-2</v>
      </c>
      <c r="AT5" s="87">
        <f t="shared" ref="AT5:AT12" si="30">AQ5+AS5</f>
        <v>0.16790509259259256</v>
      </c>
      <c r="AU5" s="85" t="str">
        <f>'Stage Entry'!AQ17</f>
        <v>Dan Langelaan</v>
      </c>
      <c r="AV5" s="86">
        <f>'Stage Entry'!AR17</f>
        <v>9.8842592592592576E-3</v>
      </c>
      <c r="AW5" s="87">
        <f t="shared" ref="AW5:AW12" si="31">AT5+AV5</f>
        <v>0.17778935185185182</v>
      </c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</row>
    <row r="6" spans="1:67" s="34" customFormat="1" ht="20.100000000000001" customHeight="1" x14ac:dyDescent="0.2">
      <c r="A6" s="84" t="str">
        <f>'Team Selection'!B5</f>
        <v>Slips is a Loser</v>
      </c>
      <c r="B6" s="85" t="str">
        <f>'Stage Entry'!H6</f>
        <v>Shane Fielding</v>
      </c>
      <c r="C6" s="86">
        <f>'Stage Entry'!I6</f>
        <v>9.1435185185185178E-3</v>
      </c>
      <c r="D6" s="87">
        <f t="shared" si="16"/>
        <v>9.1435185185185178E-3</v>
      </c>
      <c r="E6" s="85" t="str">
        <f>'Stage Entry'!M6</f>
        <v>Joe Vaughan</v>
      </c>
      <c r="F6" s="86">
        <f>'Stage Entry'!N6</f>
        <v>9.2939814814814812E-3</v>
      </c>
      <c r="G6" s="87">
        <f t="shared" si="17"/>
        <v>1.8437499999999999E-2</v>
      </c>
      <c r="H6" s="85" t="str">
        <f>'Stage Entry'!R6</f>
        <v>Nick Tobin</v>
      </c>
      <c r="I6" s="86">
        <f>'Stage Entry'!S6</f>
        <v>1.0173611111111111E-2</v>
      </c>
      <c r="J6" s="87">
        <f t="shared" si="18"/>
        <v>2.8611111111111108E-2</v>
      </c>
      <c r="K6" s="85" t="str">
        <f>'Stage Entry'!W6</f>
        <v>Stevie Williams</v>
      </c>
      <c r="L6" s="86">
        <f>'Stage Entry'!X6</f>
        <v>8.4143518518518517E-3</v>
      </c>
      <c r="M6" s="87">
        <f t="shared" si="19"/>
        <v>3.7025462962962961E-2</v>
      </c>
      <c r="N6" s="85" t="str">
        <f>'Stage Entry'!AB6</f>
        <v>Shane Fielding</v>
      </c>
      <c r="O6" s="86">
        <f>'Stage Entry'!AC6</f>
        <v>1.1944444444444445E-2</v>
      </c>
      <c r="P6" s="87">
        <f t="shared" si="20"/>
        <v>4.8969907407407406E-2</v>
      </c>
      <c r="Q6" s="85" t="str">
        <f>'Stage Entry'!AG6</f>
        <v>Joe Vaughan</v>
      </c>
      <c r="R6" s="86">
        <f>'Stage Entry'!AH6</f>
        <v>1.1226851851851854E-2</v>
      </c>
      <c r="S6" s="87">
        <f t="shared" si="21"/>
        <v>6.0196759259259262E-2</v>
      </c>
      <c r="T6" s="85" t="str">
        <f>'Stage Entry'!AL6</f>
        <v>Nick Tobin</v>
      </c>
      <c r="U6" s="86">
        <f>'Stage Entry'!AM6</f>
        <v>7.6157407407407415E-3</v>
      </c>
      <c r="V6" s="87">
        <f t="shared" si="22"/>
        <v>6.7812499999999998E-2</v>
      </c>
      <c r="W6" s="85" t="str">
        <f>'Stage Entry'!AQ6</f>
        <v>Stevie Williams</v>
      </c>
      <c r="X6" s="86">
        <f>'Stage Entry'!AR6</f>
        <v>1.4039351851851851E-2</v>
      </c>
      <c r="Y6" s="87">
        <f t="shared" si="23"/>
        <v>8.1851851851851842E-2</v>
      </c>
      <c r="Z6" s="85" t="str">
        <f>'Stage Entry'!H18</f>
        <v>Nick Tobin</v>
      </c>
      <c r="AA6" s="86">
        <f>'Stage Entry'!I18</f>
        <v>1.252314814814815E-2</v>
      </c>
      <c r="AB6" s="87">
        <f t="shared" si="24"/>
        <v>9.4374999999999987E-2</v>
      </c>
      <c r="AC6" s="85" t="str">
        <f>'Stage Entry'!M18</f>
        <v>Joe Vaughan</v>
      </c>
      <c r="AD6" s="86">
        <f>'Stage Entry'!N18</f>
        <v>1.0983796296296297E-2</v>
      </c>
      <c r="AE6" s="87">
        <f t="shared" si="25"/>
        <v>0.10535879629629628</v>
      </c>
      <c r="AF6" s="85" t="str">
        <f>'Stage Entry'!R18</f>
        <v>Stevie Williams</v>
      </c>
      <c r="AG6" s="86">
        <f>'Stage Entry'!S18</f>
        <v>1.34375E-2</v>
      </c>
      <c r="AH6" s="87">
        <f t="shared" si="26"/>
        <v>0.11879629629629629</v>
      </c>
      <c r="AI6" s="85" t="str">
        <f>'Stage Entry'!W18</f>
        <v>Shane Fielding</v>
      </c>
      <c r="AJ6" s="86">
        <f>'Stage Entry'!X18</f>
        <v>1.1377314814814814E-2</v>
      </c>
      <c r="AK6" s="87">
        <f t="shared" si="27"/>
        <v>0.13017361111111111</v>
      </c>
      <c r="AL6" s="85" t="str">
        <f>'Stage Entry'!AB18</f>
        <v>Joe Vaughan</v>
      </c>
      <c r="AM6" s="86">
        <f>'Stage Entry'!AC18</f>
        <v>1.3414351851851851E-2</v>
      </c>
      <c r="AN6" s="87">
        <f t="shared" si="28"/>
        <v>0.14358796296296297</v>
      </c>
      <c r="AO6" s="85" t="str">
        <f>'Stage Entry'!AG18</f>
        <v>Stevie Williams</v>
      </c>
      <c r="AP6" s="86">
        <f>'Stage Entry'!AH18</f>
        <v>1.0127314814814815E-2</v>
      </c>
      <c r="AQ6" s="87">
        <f t="shared" si="29"/>
        <v>0.1537152777777778</v>
      </c>
      <c r="AR6" s="85" t="str">
        <f>'Stage Entry'!AL18</f>
        <v>Shane Fielding</v>
      </c>
      <c r="AS6" s="86">
        <f>'Stage Entry'!AM18</f>
        <v>1.0567129629629629E-2</v>
      </c>
      <c r="AT6" s="87">
        <f t="shared" si="30"/>
        <v>0.16428240740740743</v>
      </c>
      <c r="AU6" s="85" t="str">
        <f>'Stage Entry'!AQ18</f>
        <v>Nick Tobin</v>
      </c>
      <c r="AV6" s="86">
        <f>'Stage Entry'!AR18</f>
        <v>1.1099537037037038E-2</v>
      </c>
      <c r="AW6" s="87">
        <f t="shared" si="31"/>
        <v>0.17538194444444447</v>
      </c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</row>
    <row r="7" spans="1:67" s="34" customFormat="1" ht="20.100000000000001" customHeight="1" x14ac:dyDescent="0.2">
      <c r="A7" s="84" t="str">
        <f>'Team Selection'!B6</f>
        <v>Rosebud or Bust</v>
      </c>
      <c r="B7" s="85" t="str">
        <f>'Stage Entry'!H7</f>
        <v>Stephen Paine</v>
      </c>
      <c r="C7" s="86">
        <f>'Stage Entry'!I7</f>
        <v>8.9814814814814809E-3</v>
      </c>
      <c r="D7" s="87">
        <f t="shared" si="16"/>
        <v>8.9814814814814809E-3</v>
      </c>
      <c r="E7" s="85" t="str">
        <f>'Stage Entry'!M7</f>
        <v>Glenn Carroll</v>
      </c>
      <c r="F7" s="86">
        <f>'Stage Entry'!N7</f>
        <v>9.3981481481481485E-3</v>
      </c>
      <c r="G7" s="87">
        <f t="shared" si="17"/>
        <v>1.8379629629629628E-2</v>
      </c>
      <c r="H7" s="85" t="str">
        <f>'Stage Entry'!R7</f>
        <v>James Chiriano</v>
      </c>
      <c r="I7" s="86">
        <f>'Stage Entry'!S7</f>
        <v>1.0254629629629629E-2</v>
      </c>
      <c r="J7" s="87">
        <f t="shared" si="18"/>
        <v>2.8634259259259255E-2</v>
      </c>
      <c r="K7" s="85" t="str">
        <f>'Stage Entry'!W7</f>
        <v>Dave Munro</v>
      </c>
      <c r="L7" s="86">
        <f>'Stage Entry'!X7</f>
        <v>9.7106481481481471E-3</v>
      </c>
      <c r="M7" s="87">
        <f t="shared" si="19"/>
        <v>3.8344907407407404E-2</v>
      </c>
      <c r="N7" s="85" t="str">
        <f>'Stage Entry'!AB7</f>
        <v>Stephen Paine</v>
      </c>
      <c r="O7" s="86">
        <f>'Stage Entry'!AC7</f>
        <v>1.1736111111111109E-2</v>
      </c>
      <c r="P7" s="87">
        <f t="shared" si="20"/>
        <v>5.0081018518518511E-2</v>
      </c>
      <c r="Q7" s="85" t="str">
        <f>'Stage Entry'!AG7</f>
        <v>James Chiriano</v>
      </c>
      <c r="R7" s="86">
        <f>'Stage Entry'!AH7</f>
        <v>1.2337962962962962E-2</v>
      </c>
      <c r="S7" s="87">
        <f t="shared" si="21"/>
        <v>6.2418981481481471E-2</v>
      </c>
      <c r="T7" s="85" t="str">
        <f>'Stage Entry'!AL7</f>
        <v>Dave Munro</v>
      </c>
      <c r="U7" s="86">
        <f>'Stage Entry'!AM7</f>
        <v>7.4074074074074068E-3</v>
      </c>
      <c r="V7" s="87">
        <f t="shared" si="22"/>
        <v>6.9826388888888882E-2</v>
      </c>
      <c r="W7" s="85" t="str">
        <f>'Stage Entry'!AQ7</f>
        <v>Glenn Carroll</v>
      </c>
      <c r="X7" s="86">
        <f>'Stage Entry'!AR7</f>
        <v>1.6273148148148148E-2</v>
      </c>
      <c r="Y7" s="87">
        <f t="shared" si="23"/>
        <v>8.609953703703703E-2</v>
      </c>
      <c r="Z7" s="85" t="str">
        <f>'Stage Entry'!H19</f>
        <v>Stephen Paine</v>
      </c>
      <c r="AA7" s="86">
        <f>'Stage Entry'!I19</f>
        <v>1.0972222222222223E-2</v>
      </c>
      <c r="AB7" s="87">
        <f t="shared" si="24"/>
        <v>9.707175925925926E-2</v>
      </c>
      <c r="AC7" s="85" t="str">
        <f>'Stage Entry'!M19</f>
        <v>Glenn Carroll</v>
      </c>
      <c r="AD7" s="86">
        <f>'Stage Entry'!N19</f>
        <v>1.136574074074074E-2</v>
      </c>
      <c r="AE7" s="87">
        <f t="shared" si="25"/>
        <v>0.10843750000000001</v>
      </c>
      <c r="AF7" s="85" t="str">
        <f>'Stage Entry'!R19</f>
        <v>Dave Munro</v>
      </c>
      <c r="AG7" s="86">
        <f>'Stage Entry'!S19</f>
        <v>1.4641203703703703E-2</v>
      </c>
      <c r="AH7" s="87">
        <f t="shared" si="26"/>
        <v>0.1230787037037037</v>
      </c>
      <c r="AI7" s="85" t="str">
        <f>'Stage Entry'!W19</f>
        <v>James Chiriano</v>
      </c>
      <c r="AJ7" s="86">
        <f>'Stage Entry'!X19</f>
        <v>2.0833333333333332E-2</v>
      </c>
      <c r="AK7" s="87">
        <f t="shared" si="27"/>
        <v>0.14391203703703703</v>
      </c>
      <c r="AL7" s="85" t="str">
        <f>'Stage Entry'!AB19</f>
        <v>Stephen Paine</v>
      </c>
      <c r="AM7" s="86">
        <f>'Stage Entry'!AC19</f>
        <v>1.7361111111111112E-2</v>
      </c>
      <c r="AN7" s="87">
        <f t="shared" si="28"/>
        <v>0.16127314814814814</v>
      </c>
      <c r="AO7" s="85" t="str">
        <f>'Stage Entry'!AG19</f>
        <v>Glenn Carroll</v>
      </c>
      <c r="AP7" s="86">
        <f>'Stage Entry'!AH19</f>
        <v>1.7361111111111112E-2</v>
      </c>
      <c r="AQ7" s="87">
        <f t="shared" si="29"/>
        <v>0.17863425925925924</v>
      </c>
      <c r="AR7" s="85" t="str">
        <f>'Stage Entry'!AL19</f>
        <v>Dave Munro</v>
      </c>
      <c r="AS7" s="86">
        <f>'Stage Entry'!AM19</f>
        <v>1.7361111111111112E-2</v>
      </c>
      <c r="AT7" s="87">
        <f t="shared" si="30"/>
        <v>0.19599537037037035</v>
      </c>
      <c r="AU7" s="85" t="str">
        <f>'Stage Entry'!AQ19</f>
        <v>James Chiriano</v>
      </c>
      <c r="AV7" s="86">
        <f>'Stage Entry'!AR19</f>
        <v>1.7361111111111112E-2</v>
      </c>
      <c r="AW7" s="87">
        <f t="shared" si="31"/>
        <v>0.21335648148148145</v>
      </c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</row>
    <row r="8" spans="1:67" s="34" customFormat="1" ht="20.100000000000001" customHeight="1" x14ac:dyDescent="0.2">
      <c r="A8" s="84" t="str">
        <f>'Team Selection'!B7</f>
        <v>Bermuda Quadrangles</v>
      </c>
      <c r="B8" s="85" t="str">
        <f>'Stage Entry'!H8</f>
        <v>Peter Larsen</v>
      </c>
      <c r="C8" s="86">
        <f>'Stage Entry'!I8</f>
        <v>9.0393518518518522E-3</v>
      </c>
      <c r="D8" s="87">
        <f t="shared" si="16"/>
        <v>9.0393518518518522E-3</v>
      </c>
      <c r="E8" s="85" t="str">
        <f>'Stage Entry'!M8</f>
        <v>Ewen Vowels</v>
      </c>
      <c r="F8" s="86">
        <f>'Stage Entry'!N8</f>
        <v>9.9189814814814817E-3</v>
      </c>
      <c r="G8" s="87">
        <f t="shared" si="17"/>
        <v>1.8958333333333334E-2</v>
      </c>
      <c r="H8" s="85" t="str">
        <f>'Stage Entry'!R8</f>
        <v>Chris Wade</v>
      </c>
      <c r="I8" s="86">
        <f>'Stage Entry'!S8</f>
        <v>1.0034722222222221E-2</v>
      </c>
      <c r="J8" s="87">
        <f t="shared" si="18"/>
        <v>2.8993055555555557E-2</v>
      </c>
      <c r="K8" s="85" t="str">
        <f>'Stage Entry'!W8</f>
        <v>David Alcock</v>
      </c>
      <c r="L8" s="86">
        <f>'Stage Entry'!X8</f>
        <v>8.9351851851851866E-3</v>
      </c>
      <c r="M8" s="87">
        <f t="shared" si="19"/>
        <v>3.7928240740740742E-2</v>
      </c>
      <c r="N8" s="85" t="str">
        <f>'Stage Entry'!AB8</f>
        <v>Peter Larsen</v>
      </c>
      <c r="O8" s="86">
        <f>'Stage Entry'!AC8</f>
        <v>1.1967592592592592E-2</v>
      </c>
      <c r="P8" s="87">
        <f t="shared" si="20"/>
        <v>4.9895833333333334E-2</v>
      </c>
      <c r="Q8" s="85" t="str">
        <f>'Stage Entry'!AG8</f>
        <v>Ewen Vowels</v>
      </c>
      <c r="R8" s="86">
        <f>'Stage Entry'!AH8</f>
        <v>1.1412037037037038E-2</v>
      </c>
      <c r="S8" s="87">
        <f t="shared" si="21"/>
        <v>6.1307870370370374E-2</v>
      </c>
      <c r="T8" s="85" t="str">
        <f>'Stage Entry'!AL8</f>
        <v>Chris Wade</v>
      </c>
      <c r="U8" s="86">
        <f>'Stage Entry'!AM8</f>
        <v>7.9629629629629634E-3</v>
      </c>
      <c r="V8" s="87">
        <f t="shared" si="22"/>
        <v>6.9270833333333337E-2</v>
      </c>
      <c r="W8" s="85" t="str">
        <f>'Stage Entry'!AQ8</f>
        <v>David Alcock</v>
      </c>
      <c r="X8" s="86">
        <f>'Stage Entry'!AR8</f>
        <v>1.667824074074074E-2</v>
      </c>
      <c r="Y8" s="87">
        <f t="shared" si="23"/>
        <v>8.5949074074074081E-2</v>
      </c>
      <c r="Z8" s="85" t="str">
        <f>'Stage Entry'!H20</f>
        <v>Chris Wade</v>
      </c>
      <c r="AA8" s="86">
        <f>'Stage Entry'!I20</f>
        <v>1.1793981481481482E-2</v>
      </c>
      <c r="AB8" s="87">
        <f t="shared" si="24"/>
        <v>9.7743055555555569E-2</v>
      </c>
      <c r="AC8" s="85" t="str">
        <f>'Stage Entry'!M20</f>
        <v>Ewen Vowels</v>
      </c>
      <c r="AD8" s="86">
        <f>'Stage Entry'!N20</f>
        <v>1.1666666666666667E-2</v>
      </c>
      <c r="AE8" s="87">
        <f t="shared" si="25"/>
        <v>0.10940972222222224</v>
      </c>
      <c r="AF8" s="85" t="str">
        <f>'Stage Entry'!R20</f>
        <v>David Alcock</v>
      </c>
      <c r="AG8" s="86">
        <f>'Stage Entry'!S20</f>
        <v>1.40625E-2</v>
      </c>
      <c r="AH8" s="87">
        <f t="shared" si="26"/>
        <v>0.12347222222222225</v>
      </c>
      <c r="AI8" s="85" t="str">
        <f>'Stage Entry'!W20</f>
        <v>Peter Larsen</v>
      </c>
      <c r="AJ8" s="86">
        <f>'Stage Entry'!X20</f>
        <v>1.1469907407407408E-2</v>
      </c>
      <c r="AK8" s="87">
        <f t="shared" si="27"/>
        <v>0.13494212962962965</v>
      </c>
      <c r="AL8" s="85" t="str">
        <f>'Stage Entry'!AB20</f>
        <v>David Alcock</v>
      </c>
      <c r="AM8" s="86">
        <f>'Stage Entry'!AC20</f>
        <v>1.2418981481481482E-2</v>
      </c>
      <c r="AN8" s="87">
        <f t="shared" si="28"/>
        <v>0.14736111111111114</v>
      </c>
      <c r="AO8" s="85" t="str">
        <f>'Stage Entry'!AG20</f>
        <v>Ewen Vowels</v>
      </c>
      <c r="AP8" s="86">
        <f>'Stage Entry'!AH20</f>
        <v>1.1979166666666666E-2</v>
      </c>
      <c r="AQ8" s="87">
        <f t="shared" si="29"/>
        <v>0.15934027777777782</v>
      </c>
      <c r="AR8" s="85" t="str">
        <f>'Stage Entry'!AL20</f>
        <v>Peter Larsen</v>
      </c>
      <c r="AS8" s="86">
        <f>'Stage Entry'!AM20</f>
        <v>1.0972222222222223E-2</v>
      </c>
      <c r="AT8" s="87">
        <f t="shared" si="30"/>
        <v>0.17031250000000003</v>
      </c>
      <c r="AU8" s="85" t="str">
        <f>'Stage Entry'!AQ20</f>
        <v>Chris Wade</v>
      </c>
      <c r="AV8" s="86">
        <f>'Stage Entry'!AR20</f>
        <v>1.068287037037037E-2</v>
      </c>
      <c r="AW8" s="87">
        <f t="shared" si="31"/>
        <v>0.18099537037037039</v>
      </c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</row>
    <row r="9" spans="1:67" s="34" customFormat="1" ht="20.100000000000001" customHeight="1" x14ac:dyDescent="0.2">
      <c r="A9" s="84" t="str">
        <f>'Team Selection'!B8</f>
        <v>Duff'd It Up - The Sequel</v>
      </c>
      <c r="B9" s="85" t="str">
        <f>'Stage Entry'!H9</f>
        <v>Tony Hally</v>
      </c>
      <c r="C9" s="86">
        <f>'Stage Entry'!I9</f>
        <v>1.0069444444444445E-2</v>
      </c>
      <c r="D9" s="87">
        <f t="shared" si="16"/>
        <v>1.0069444444444445E-2</v>
      </c>
      <c r="E9" s="85" t="str">
        <f>'Stage Entry'!M9</f>
        <v>Anthony Mithen</v>
      </c>
      <c r="F9" s="86">
        <f>'Stage Entry'!N9</f>
        <v>9.0740740740740729E-3</v>
      </c>
      <c r="G9" s="87">
        <f t="shared" si="17"/>
        <v>1.9143518518518518E-2</v>
      </c>
      <c r="H9" s="85" t="str">
        <f>'Stage Entry'!R9</f>
        <v>Selim Ahmed</v>
      </c>
      <c r="I9" s="86">
        <f>'Stage Entry'!S9</f>
        <v>9.7106481481481471E-3</v>
      </c>
      <c r="J9" s="87">
        <f t="shared" si="18"/>
        <v>2.8854166666666667E-2</v>
      </c>
      <c r="K9" s="85" t="str">
        <f>'Stage Entry'!W9</f>
        <v>David Hartley</v>
      </c>
      <c r="L9" s="86">
        <f>'Stage Entry'!X9</f>
        <v>9.0972222222222218E-3</v>
      </c>
      <c r="M9" s="87">
        <f t="shared" si="19"/>
        <v>3.7951388888888889E-2</v>
      </c>
      <c r="N9" s="85" t="str">
        <f>'Stage Entry'!AB9</f>
        <v>Tony Hally</v>
      </c>
      <c r="O9" s="86">
        <f>'Stage Entry'!AC9</f>
        <v>1.2812499999999999E-2</v>
      </c>
      <c r="P9" s="87">
        <f t="shared" si="20"/>
        <v>5.0763888888888886E-2</v>
      </c>
      <c r="Q9" s="85" t="str">
        <f>'Stage Entry'!AG9</f>
        <v>Anthony Mithen</v>
      </c>
      <c r="R9" s="86">
        <f>'Stage Entry'!AH9</f>
        <v>1.0833333333333334E-2</v>
      </c>
      <c r="S9" s="87">
        <f t="shared" si="21"/>
        <v>6.159722222222222E-2</v>
      </c>
      <c r="T9" s="85" t="str">
        <f>'Stage Entry'!AL9</f>
        <v>Selim Ahmed</v>
      </c>
      <c r="U9" s="86">
        <f>'Stage Entry'!AM9</f>
        <v>7.8703703703703713E-3</v>
      </c>
      <c r="V9" s="87">
        <f t="shared" si="22"/>
        <v>6.9467592592592595E-2</v>
      </c>
      <c r="W9" s="85" t="str">
        <f>'Stage Entry'!AQ9</f>
        <v>David Hartley</v>
      </c>
      <c r="X9" s="86">
        <f>'Stage Entry'!AR9</f>
        <v>1.6608796296296299E-2</v>
      </c>
      <c r="Y9" s="87">
        <f t="shared" si="23"/>
        <v>8.6076388888888897E-2</v>
      </c>
      <c r="Z9" s="85" t="str">
        <f>'Stage Entry'!H21</f>
        <v>Selim Ahmed</v>
      </c>
      <c r="AA9" s="86">
        <f>'Stage Entry'!I21</f>
        <v>1.1157407407407408E-2</v>
      </c>
      <c r="AB9" s="87">
        <f t="shared" si="24"/>
        <v>9.7233796296296304E-2</v>
      </c>
      <c r="AC9" s="85" t="str">
        <f>'Stage Entry'!M21</f>
        <v>Tony Hally</v>
      </c>
      <c r="AD9" s="86">
        <f>'Stage Entry'!N21</f>
        <v>1.1504629629629629E-2</v>
      </c>
      <c r="AE9" s="87">
        <f t="shared" si="25"/>
        <v>0.10873842592592593</v>
      </c>
      <c r="AF9" s="85" t="str">
        <f>'Stage Entry'!R21</f>
        <v>David Hartley</v>
      </c>
      <c r="AG9" s="86">
        <f>'Stage Entry'!S21</f>
        <v>1.4212962962962962E-2</v>
      </c>
      <c r="AH9" s="87">
        <f t="shared" si="26"/>
        <v>0.1229513888888889</v>
      </c>
      <c r="AI9" s="85" t="str">
        <f>'Stage Entry'!W21</f>
        <v>Anthony Mithen</v>
      </c>
      <c r="AJ9" s="86">
        <f>'Stage Entry'!X21</f>
        <v>1.1782407407407406E-2</v>
      </c>
      <c r="AK9" s="87">
        <f t="shared" si="27"/>
        <v>0.13473379629629631</v>
      </c>
      <c r="AL9" s="85" t="str">
        <f>'Stage Entry'!AB21</f>
        <v>David Hartley</v>
      </c>
      <c r="AM9" s="86">
        <f>'Stage Entry'!AC21</f>
        <v>1.3344907407407408E-2</v>
      </c>
      <c r="AN9" s="87">
        <f t="shared" si="28"/>
        <v>0.14807870370370371</v>
      </c>
      <c r="AO9" s="85" t="str">
        <f>'Stage Entry'!AG21</f>
        <v>Tony Hally</v>
      </c>
      <c r="AP9" s="86">
        <f>'Stage Entry'!AH21</f>
        <v>1.1620370370370371E-2</v>
      </c>
      <c r="AQ9" s="87">
        <f t="shared" si="29"/>
        <v>0.15969907407407408</v>
      </c>
      <c r="AR9" s="85" t="str">
        <f>'Stage Entry'!AL21</f>
        <v>Anthony Mithen</v>
      </c>
      <c r="AS9" s="86">
        <f>'Stage Entry'!AM21</f>
        <v>1.119212962962963E-2</v>
      </c>
      <c r="AT9" s="87">
        <f t="shared" si="30"/>
        <v>0.1708912037037037</v>
      </c>
      <c r="AU9" s="85" t="str">
        <f>'Stage Entry'!AQ21</f>
        <v>Selim Ahmed</v>
      </c>
      <c r="AV9" s="86">
        <f>'Stage Entry'!AR21</f>
        <v>1.3958333333333335E-2</v>
      </c>
      <c r="AW9" s="87">
        <f t="shared" si="31"/>
        <v>0.18484953703703702</v>
      </c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</row>
    <row r="10" spans="1:67" s="34" customFormat="1" ht="20.100000000000001" customHeight="1" x14ac:dyDescent="0.2">
      <c r="A10" s="84" t="str">
        <f>'Team Selection'!B9</f>
        <v>Red Nitro's</v>
      </c>
      <c r="B10" s="85" t="str">
        <f>'Stage Entry'!H10</f>
        <v>Mark Symes</v>
      </c>
      <c r="C10" s="86">
        <f>'Stage Entry'!I10</f>
        <v>9.2129629629629627E-3</v>
      </c>
      <c r="D10" s="87">
        <f t="shared" si="16"/>
        <v>9.2129629629629627E-3</v>
      </c>
      <c r="E10" s="85" t="str">
        <f>'Stage Entry'!M10</f>
        <v>Bruce Arthur</v>
      </c>
      <c r="F10" s="86">
        <f>'Stage Entry'!N10</f>
        <v>9.0972222222222218E-3</v>
      </c>
      <c r="G10" s="87">
        <f t="shared" si="17"/>
        <v>1.8310185185185186E-2</v>
      </c>
      <c r="H10" s="85" t="str">
        <f>'Stage Entry'!R10</f>
        <v>Dale Nardella</v>
      </c>
      <c r="I10" s="86">
        <f>'Stage Entry'!S10</f>
        <v>9.7916666666666655E-3</v>
      </c>
      <c r="J10" s="87">
        <f t="shared" si="18"/>
        <v>2.810185185185185E-2</v>
      </c>
      <c r="K10" s="85" t="str">
        <f>'Stage Entry'!W10</f>
        <v>Simon Tu</v>
      </c>
      <c r="L10" s="86">
        <f>'Stage Entry'!X10</f>
        <v>8.8888888888888889E-3</v>
      </c>
      <c r="M10" s="87">
        <f t="shared" si="19"/>
        <v>3.6990740740740741E-2</v>
      </c>
      <c r="N10" s="85" t="str">
        <f>'Stage Entry'!AB10</f>
        <v>Mark Symes</v>
      </c>
      <c r="O10" s="86">
        <f>'Stage Entry'!AC10</f>
        <v>1.1770833333333333E-2</v>
      </c>
      <c r="P10" s="87">
        <f t="shared" si="20"/>
        <v>4.8761574074074075E-2</v>
      </c>
      <c r="Q10" s="85" t="str">
        <f>'Stage Entry'!AG10</f>
        <v>Bruce Arthur</v>
      </c>
      <c r="R10" s="86">
        <f>'Stage Entry'!AH10</f>
        <v>1.0462962962962964E-2</v>
      </c>
      <c r="S10" s="87">
        <f t="shared" si="21"/>
        <v>5.9224537037037041E-2</v>
      </c>
      <c r="T10" s="85" t="str">
        <f>'Stage Entry'!AL10</f>
        <v>Dale Nardella</v>
      </c>
      <c r="U10" s="86">
        <f>'Stage Entry'!AM10</f>
        <v>8.0555555555555554E-3</v>
      </c>
      <c r="V10" s="87">
        <f t="shared" si="22"/>
        <v>6.72800925925926E-2</v>
      </c>
      <c r="W10" s="85" t="str">
        <f>'Stage Entry'!AQ10</f>
        <v>Simon Tu</v>
      </c>
      <c r="X10" s="86">
        <f>'Stage Entry'!AR10</f>
        <v>1.4814814814814814E-2</v>
      </c>
      <c r="Y10" s="87">
        <f t="shared" si="23"/>
        <v>8.2094907407407408E-2</v>
      </c>
      <c r="Z10" s="85" t="str">
        <f>'Stage Entry'!H22</f>
        <v>Dale Nardella</v>
      </c>
      <c r="AA10" s="86">
        <f>'Stage Entry'!I22</f>
        <v>1.1238425925925928E-2</v>
      </c>
      <c r="AB10" s="87">
        <f t="shared" si="24"/>
        <v>9.3333333333333338E-2</v>
      </c>
      <c r="AC10" s="85" t="str">
        <f>'Stage Entry'!M22</f>
        <v>Mark Symes</v>
      </c>
      <c r="AD10" s="86">
        <f>'Stage Entry'!N22</f>
        <v>1.0625000000000001E-2</v>
      </c>
      <c r="AE10" s="87">
        <f t="shared" si="25"/>
        <v>0.10395833333333333</v>
      </c>
      <c r="AF10" s="85" t="str">
        <f>'Stage Entry'!R22</f>
        <v>Simon Tu</v>
      </c>
      <c r="AG10" s="86">
        <f>'Stage Entry'!S22</f>
        <v>1.4421296296296295E-2</v>
      </c>
      <c r="AH10" s="87">
        <f t="shared" si="26"/>
        <v>0.11837962962962963</v>
      </c>
      <c r="AI10" s="85" t="str">
        <f>'Stage Entry'!W22</f>
        <v>Bruce Arthur</v>
      </c>
      <c r="AJ10" s="86">
        <f>'Stage Entry'!X22</f>
        <v>1.1504629629629629E-2</v>
      </c>
      <c r="AK10" s="87">
        <f t="shared" si="27"/>
        <v>0.12988425925925925</v>
      </c>
      <c r="AL10" s="85" t="str">
        <f>'Stage Entry'!AB22</f>
        <v>Simon Tu</v>
      </c>
      <c r="AM10" s="86">
        <f>'Stage Entry'!AC22</f>
        <v>1.2731481481481481E-2</v>
      </c>
      <c r="AN10" s="87">
        <f t="shared" si="28"/>
        <v>0.14261574074074074</v>
      </c>
      <c r="AO10" s="85" t="str">
        <f>'Stage Entry'!AG22</f>
        <v>Mark Symes</v>
      </c>
      <c r="AP10" s="86">
        <f>'Stage Entry'!AH22</f>
        <v>1.0995370370370371E-2</v>
      </c>
      <c r="AQ10" s="87">
        <f t="shared" si="29"/>
        <v>0.15361111111111111</v>
      </c>
      <c r="AR10" s="85" t="str">
        <f>'Stage Entry'!AL22</f>
        <v>Bruce Arthur</v>
      </c>
      <c r="AS10" s="86">
        <f>'Stage Entry'!AM22</f>
        <v>1.0277777777777778E-2</v>
      </c>
      <c r="AT10" s="87">
        <f t="shared" si="30"/>
        <v>0.16388888888888889</v>
      </c>
      <c r="AU10" s="85" t="str">
        <f>'Stage Entry'!AQ22</f>
        <v>Dale Nardella</v>
      </c>
      <c r="AV10" s="86">
        <f>'Stage Entry'!AR22</f>
        <v>1.0138888888888888E-2</v>
      </c>
      <c r="AW10" s="87">
        <f t="shared" si="31"/>
        <v>0.17402777777777778</v>
      </c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</row>
    <row r="11" spans="1:67" s="34" customFormat="1" ht="20.100000000000001" customHeight="1" x14ac:dyDescent="0.2">
      <c r="A11" s="84" t="str">
        <f>'Team Selection'!B10</f>
        <v>Black Widows</v>
      </c>
      <c r="B11" s="85" t="str">
        <f>'Stage Entry'!H11</f>
        <v>Alex Kimp</v>
      </c>
      <c r="C11" s="86">
        <f>'Stage Entry'!I11</f>
        <v>9.1319444444444443E-3</v>
      </c>
      <c r="D11" s="87">
        <f t="shared" si="16"/>
        <v>9.1319444444444443E-3</v>
      </c>
      <c r="E11" s="85" t="str">
        <f>'Stage Entry'!M11</f>
        <v>Greg Roche</v>
      </c>
      <c r="F11" s="86">
        <f>'Stage Entry'!N11</f>
        <v>9.7106481481481471E-3</v>
      </c>
      <c r="G11" s="87">
        <f t="shared" si="17"/>
        <v>1.8842592592592591E-2</v>
      </c>
      <c r="H11" s="85" t="str">
        <f>'Stage Entry'!R11</f>
        <v>Janice De Vries</v>
      </c>
      <c r="I11" s="86">
        <f>'Stage Entry'!S11</f>
        <v>9.6874999999999999E-3</v>
      </c>
      <c r="J11" s="87">
        <f t="shared" si="18"/>
        <v>2.8530092592592593E-2</v>
      </c>
      <c r="K11" s="85" t="str">
        <f>'Stage Entry'!W11</f>
        <v>Richard Does</v>
      </c>
      <c r="L11" s="86">
        <f>'Stage Entry'!X11</f>
        <v>8.9351851851851866E-3</v>
      </c>
      <c r="M11" s="87">
        <f t="shared" si="19"/>
        <v>3.7465277777777778E-2</v>
      </c>
      <c r="N11" s="85" t="str">
        <f>'Stage Entry'!AB11</f>
        <v>Alex Kimp</v>
      </c>
      <c r="O11" s="86">
        <f>'Stage Entry'!AC11</f>
        <v>1.2013888888888888E-2</v>
      </c>
      <c r="P11" s="87">
        <f t="shared" si="20"/>
        <v>4.9479166666666664E-2</v>
      </c>
      <c r="Q11" s="85" t="str">
        <f>'Stage Entry'!AG11</f>
        <v>Greg Roche</v>
      </c>
      <c r="R11" s="86">
        <f>'Stage Entry'!AH11</f>
        <v>1.1307870370370371E-2</v>
      </c>
      <c r="S11" s="87">
        <f t="shared" si="21"/>
        <v>6.0787037037037035E-2</v>
      </c>
      <c r="T11" s="85" t="str">
        <f>'Stage Entry'!AL11</f>
        <v>Janice De Vries</v>
      </c>
      <c r="U11" s="86">
        <f>'Stage Entry'!AM11</f>
        <v>7.69675925925926E-3</v>
      </c>
      <c r="V11" s="87">
        <f t="shared" si="22"/>
        <v>6.8483796296296293E-2</v>
      </c>
      <c r="W11" s="85" t="str">
        <f>'Stage Entry'!AQ11</f>
        <v>Richard Does</v>
      </c>
      <c r="X11" s="86">
        <f>'Stage Entry'!AR11</f>
        <v>1.4618055555555556E-2</v>
      </c>
      <c r="Y11" s="87">
        <f t="shared" si="23"/>
        <v>8.3101851851851843E-2</v>
      </c>
      <c r="Z11" s="85" t="str">
        <f>'Stage Entry'!H23</f>
        <v>Greg Roche</v>
      </c>
      <c r="AA11" s="86">
        <f>'Stage Entry'!I23</f>
        <v>1.1412037037037038E-2</v>
      </c>
      <c r="AB11" s="87">
        <f t="shared" si="24"/>
        <v>9.4513888888888883E-2</v>
      </c>
      <c r="AC11" s="85" t="str">
        <f>'Stage Entry'!M23</f>
        <v>Janice De Vries</v>
      </c>
      <c r="AD11" s="86">
        <f>'Stage Entry'!N23</f>
        <v>1.1076388888888887E-2</v>
      </c>
      <c r="AE11" s="87">
        <f t="shared" si="25"/>
        <v>0.10559027777777777</v>
      </c>
      <c r="AF11" s="85" t="str">
        <f>'Stage Entry'!R23</f>
        <v>Richard Does</v>
      </c>
      <c r="AG11" s="86">
        <f>'Stage Entry'!S23</f>
        <v>1.4583333333333332E-2</v>
      </c>
      <c r="AH11" s="87">
        <f t="shared" si="26"/>
        <v>0.12017361111111111</v>
      </c>
      <c r="AI11" s="85" t="str">
        <f>'Stage Entry'!W23</f>
        <v>Alex Kimp</v>
      </c>
      <c r="AJ11" s="86">
        <f>'Stage Entry'!X23</f>
        <v>1.1145833333333334E-2</v>
      </c>
      <c r="AK11" s="87">
        <f t="shared" si="27"/>
        <v>0.13131944444444443</v>
      </c>
      <c r="AL11" s="85" t="str">
        <f>'Stage Entry'!AB23</f>
        <v>Richard Does</v>
      </c>
      <c r="AM11" s="86">
        <f>'Stage Entry'!AC23</f>
        <v>1.2615740740740742E-2</v>
      </c>
      <c r="AN11" s="87">
        <f t="shared" si="28"/>
        <v>0.14393518518518517</v>
      </c>
      <c r="AO11" s="85" t="str">
        <f>'Stage Entry'!AG23</f>
        <v>Greg Roche</v>
      </c>
      <c r="AP11" s="86">
        <f>'Stage Entry'!AH23</f>
        <v>1.1979166666666666E-2</v>
      </c>
      <c r="AQ11" s="87">
        <f t="shared" si="29"/>
        <v>0.15591435185185182</v>
      </c>
      <c r="AR11" s="85" t="str">
        <f>'Stage Entry'!AL23</f>
        <v>Alex Kimp</v>
      </c>
      <c r="AS11" s="86">
        <f>'Stage Entry'!AM23</f>
        <v>1.0717592592592593E-2</v>
      </c>
      <c r="AT11" s="87">
        <f t="shared" si="30"/>
        <v>0.1666319444444444</v>
      </c>
      <c r="AU11" s="85" t="str">
        <f>'Stage Entry'!AQ23</f>
        <v>Janice De Vries</v>
      </c>
      <c r="AV11" s="86">
        <f>'Stage Entry'!AR23</f>
        <v>1.0671296296296297E-2</v>
      </c>
      <c r="AW11" s="87">
        <f t="shared" si="31"/>
        <v>0.17730324074074069</v>
      </c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</row>
    <row r="12" spans="1:67" s="34" customFormat="1" ht="20.100000000000001" customHeight="1" x14ac:dyDescent="0.2">
      <c r="A12" s="84" t="str">
        <f>'Team Selection'!B11</f>
        <v>Octonaughts</v>
      </c>
      <c r="B12" s="85" t="str">
        <f>'Stage Entry'!H12</f>
        <v>Simon Moore</v>
      </c>
      <c r="C12" s="86">
        <f>'Stage Entry'!I12</f>
        <v>1.0011574074074074E-2</v>
      </c>
      <c r="D12" s="87">
        <f t="shared" si="16"/>
        <v>1.0011574074074074E-2</v>
      </c>
      <c r="E12" s="85" t="str">
        <f>'Stage Entry'!M12</f>
        <v>Andrew Compson</v>
      </c>
      <c r="F12" s="86">
        <f>'Stage Entry'!N12</f>
        <v>9.1087962962962971E-3</v>
      </c>
      <c r="G12" s="87">
        <f t="shared" si="17"/>
        <v>1.9120370370370371E-2</v>
      </c>
      <c r="H12" s="85" t="str">
        <f>'Stage Entry'!R12</f>
        <v>Chris Osborne</v>
      </c>
      <c r="I12" s="86">
        <f>'Stage Entry'!S12</f>
        <v>9.7337962962962977E-3</v>
      </c>
      <c r="J12" s="87">
        <f t="shared" si="18"/>
        <v>2.8854166666666667E-2</v>
      </c>
      <c r="K12" s="85" t="str">
        <f>'Stage Entry'!W12</f>
        <v>Rob Dalton</v>
      </c>
      <c r="L12" s="86">
        <f>'Stage Entry'!X12</f>
        <v>8.9351851851851866E-3</v>
      </c>
      <c r="M12" s="87">
        <f t="shared" si="19"/>
        <v>3.7789351851851852E-2</v>
      </c>
      <c r="N12" s="85" t="str">
        <f>'Stage Entry'!AB12</f>
        <v>Simon Moore</v>
      </c>
      <c r="O12" s="86">
        <f>'Stage Entry'!AC12</f>
        <v>1.2905092592592591E-2</v>
      </c>
      <c r="P12" s="87">
        <f t="shared" si="20"/>
        <v>5.0694444444444445E-2</v>
      </c>
      <c r="Q12" s="85" t="str">
        <f>'Stage Entry'!AG12</f>
        <v>Andrew Compson</v>
      </c>
      <c r="R12" s="86">
        <f>'Stage Entry'!AH12</f>
        <v>1.0289351851851852E-2</v>
      </c>
      <c r="S12" s="87">
        <f t="shared" si="21"/>
        <v>6.09837962962963E-2</v>
      </c>
      <c r="T12" s="85" t="str">
        <f>'Stage Entry'!AL12</f>
        <v>Chris Osborne</v>
      </c>
      <c r="U12" s="86">
        <f>'Stage Entry'!AM12</f>
        <v>7.6041666666666662E-3</v>
      </c>
      <c r="V12" s="87">
        <f t="shared" si="22"/>
        <v>6.8587962962962962E-2</v>
      </c>
      <c r="W12" s="85" t="str">
        <f>'Stage Entry'!AQ12</f>
        <v>Rob Dalton</v>
      </c>
      <c r="X12" s="86">
        <f>'Stage Entry'!AR12</f>
        <v>1.4409722222222221E-2</v>
      </c>
      <c r="Y12" s="87">
        <f t="shared" si="23"/>
        <v>8.2997685185185188E-2</v>
      </c>
      <c r="Z12" s="85" t="str">
        <f>'Stage Entry'!H24</f>
        <v>Simon Moore</v>
      </c>
      <c r="AA12" s="86">
        <f>'Stage Entry'!I24</f>
        <v>1.1516203703703702E-2</v>
      </c>
      <c r="AB12" s="87">
        <f t="shared" si="24"/>
        <v>9.4513888888888897E-2</v>
      </c>
      <c r="AC12" s="85" t="str">
        <f>'Stage Entry'!M24</f>
        <v>Chris Osborne</v>
      </c>
      <c r="AD12" s="86">
        <f>'Stage Entry'!N24</f>
        <v>1.1284722222222222E-2</v>
      </c>
      <c r="AE12" s="87">
        <f t="shared" si="25"/>
        <v>0.10579861111111112</v>
      </c>
      <c r="AF12" s="85" t="str">
        <f>'Stage Entry'!R24</f>
        <v>Rob Dalton</v>
      </c>
      <c r="AG12" s="86">
        <f>'Stage Entry'!S24</f>
        <v>1.4583333333333332E-2</v>
      </c>
      <c r="AH12" s="87">
        <f t="shared" si="26"/>
        <v>0.12038194444444446</v>
      </c>
      <c r="AI12" s="85" t="str">
        <f>'Stage Entry'!W24</f>
        <v>Andrew Compson</v>
      </c>
      <c r="AJ12" s="86">
        <f>'Stage Entry'!X24</f>
        <v>1.1388888888888888E-2</v>
      </c>
      <c r="AK12" s="87">
        <f t="shared" si="27"/>
        <v>0.13177083333333334</v>
      </c>
      <c r="AL12" s="85" t="str">
        <f>'Stage Entry'!AB24</f>
        <v>Simon Moore</v>
      </c>
      <c r="AM12" s="86">
        <f>'Stage Entry'!AC24</f>
        <v>1.375E-2</v>
      </c>
      <c r="AN12" s="87">
        <f t="shared" si="28"/>
        <v>0.14552083333333335</v>
      </c>
      <c r="AO12" s="85" t="str">
        <f>'Stage Entry'!AG24</f>
        <v>Chris Osborne</v>
      </c>
      <c r="AP12" s="86">
        <f>'Stage Entry'!AH24</f>
        <v>1.136574074074074E-2</v>
      </c>
      <c r="AQ12" s="87">
        <f t="shared" si="29"/>
        <v>0.15688657407407408</v>
      </c>
      <c r="AR12" s="85" t="str">
        <f>'Stage Entry'!AL24</f>
        <v>Rob Dalton</v>
      </c>
      <c r="AS12" s="86">
        <f>'Stage Entry'!AM24</f>
        <v>1.0636574074074074E-2</v>
      </c>
      <c r="AT12" s="87">
        <f t="shared" si="30"/>
        <v>0.16752314814814814</v>
      </c>
      <c r="AU12" s="85" t="str">
        <f>'Stage Entry'!AQ24</f>
        <v>Andrew Compson</v>
      </c>
      <c r="AV12" s="86">
        <f>'Stage Entry'!AR24</f>
        <v>9.6759259259259264E-3</v>
      </c>
      <c r="AW12" s="87">
        <f t="shared" si="31"/>
        <v>0.17719907407407406</v>
      </c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</row>
    <row r="14" spans="1:67" s="101" customFormat="1" x14ac:dyDescent="0.2">
      <c r="B14" s="102"/>
      <c r="C14" s="103" t="s">
        <v>43</v>
      </c>
      <c r="D14" s="104" t="s">
        <v>42</v>
      </c>
      <c r="E14" s="141"/>
      <c r="F14" s="142" t="s">
        <v>43</v>
      </c>
      <c r="G14" s="143" t="s">
        <v>42</v>
      </c>
      <c r="H14" s="141"/>
      <c r="I14" s="142" t="s">
        <v>43</v>
      </c>
      <c r="J14" s="143" t="s">
        <v>42</v>
      </c>
      <c r="K14" s="102"/>
      <c r="L14" s="103" t="s">
        <v>43</v>
      </c>
      <c r="M14" s="104" t="s">
        <v>42</v>
      </c>
      <c r="N14" s="102"/>
      <c r="O14" s="103" t="s">
        <v>43</v>
      </c>
      <c r="P14" s="104" t="s">
        <v>42</v>
      </c>
      <c r="Q14" s="102"/>
      <c r="R14" s="103" t="s">
        <v>43</v>
      </c>
      <c r="S14" s="104" t="s">
        <v>42</v>
      </c>
      <c r="T14" s="102"/>
      <c r="U14" s="103" t="s">
        <v>43</v>
      </c>
      <c r="V14" s="104" t="s">
        <v>42</v>
      </c>
      <c r="W14" s="102"/>
      <c r="X14" s="103" t="s">
        <v>43</v>
      </c>
      <c r="Y14" s="104" t="s">
        <v>42</v>
      </c>
      <c r="Z14" s="102"/>
      <c r="AA14" s="103" t="s">
        <v>43</v>
      </c>
      <c r="AB14" s="104" t="s">
        <v>42</v>
      </c>
      <c r="AC14" s="102"/>
      <c r="AD14" s="103" t="s">
        <v>43</v>
      </c>
      <c r="AE14" s="104" t="s">
        <v>42</v>
      </c>
      <c r="AF14" s="102"/>
      <c r="AG14" s="103" t="s">
        <v>43</v>
      </c>
      <c r="AH14" s="104" t="s">
        <v>42</v>
      </c>
      <c r="AI14" s="102"/>
      <c r="AJ14" s="103" t="s">
        <v>43</v>
      </c>
      <c r="AK14" s="104" t="s">
        <v>42</v>
      </c>
      <c r="AL14" s="102"/>
      <c r="AM14" s="103" t="s">
        <v>43</v>
      </c>
      <c r="AN14" s="104" t="s">
        <v>42</v>
      </c>
      <c r="AO14" s="102"/>
      <c r="AP14" s="103" t="s">
        <v>43</v>
      </c>
      <c r="AQ14" s="104" t="s">
        <v>42</v>
      </c>
      <c r="AR14" s="102"/>
      <c r="AS14" s="103" t="s">
        <v>43</v>
      </c>
      <c r="AT14" s="104" t="s">
        <v>42</v>
      </c>
      <c r="AU14" s="102"/>
      <c r="AV14" s="103" t="s">
        <v>43</v>
      </c>
      <c r="AW14" s="104" t="s">
        <v>42</v>
      </c>
      <c r="AX14" s="107"/>
      <c r="AY14" s="108" t="s">
        <v>0</v>
      </c>
      <c r="AZ14" s="109">
        <v>1</v>
      </c>
      <c r="BA14" s="109">
        <v>2</v>
      </c>
      <c r="BB14" s="109">
        <v>3</v>
      </c>
      <c r="BC14" s="109">
        <v>4</v>
      </c>
      <c r="BD14" s="109">
        <v>5</v>
      </c>
      <c r="BE14" s="109">
        <v>6</v>
      </c>
      <c r="BF14" s="109">
        <v>7</v>
      </c>
      <c r="BG14" s="109">
        <v>8</v>
      </c>
      <c r="BH14" s="109">
        <v>9</v>
      </c>
      <c r="BI14" s="109">
        <v>10</v>
      </c>
      <c r="BJ14" s="109">
        <v>9</v>
      </c>
      <c r="BK14" s="109">
        <v>10</v>
      </c>
      <c r="BL14" s="109">
        <v>11</v>
      </c>
      <c r="BM14" s="109">
        <v>12</v>
      </c>
      <c r="BN14" s="109">
        <v>13</v>
      </c>
      <c r="BO14" s="109">
        <v>14</v>
      </c>
    </row>
    <row r="15" spans="1:67" x14ac:dyDescent="0.2">
      <c r="C15" s="99">
        <f>RANK(D4,D$4:D$12,1)</f>
        <v>4</v>
      </c>
      <c r="D15" s="100">
        <f>D4-MIN(D$4,D$5,D$6,D$10,D$11,D$12)</f>
        <v>1.7361111111111049E-4</v>
      </c>
      <c r="F15" s="99">
        <f>RANK(G4,G$4:G$12,1)</f>
        <v>8</v>
      </c>
      <c r="G15" s="100">
        <f>G4-MIN(G$4,G$5,G$6,G$10,G$11,G$12)</f>
        <v>1.05324074074074E-3</v>
      </c>
      <c r="I15" s="99">
        <f>RANK(J4,J$4:J$12,1)</f>
        <v>9</v>
      </c>
      <c r="J15" s="100">
        <f>J4-MIN(J$4,J$5,J$6,J$10,J$11,J$12)</f>
        <v>1.840277777777781E-3</v>
      </c>
      <c r="L15" s="99">
        <f>RANK(M4,M$4:M$12,1)</f>
        <v>4</v>
      </c>
      <c r="M15" s="100">
        <f>M4-MIN(M$4,M$5,M$6,M$10,M$11,M$12)</f>
        <v>7.407407407407432E-4</v>
      </c>
      <c r="O15" s="99">
        <f>RANK(P4,P$4:P$12,1)</f>
        <v>5</v>
      </c>
      <c r="P15" s="100">
        <f>P4-MIN(P$4,P$5,P$6,P$10,P$11,P$12)</f>
        <v>9.1435185185185369E-4</v>
      </c>
      <c r="R15" s="99">
        <f>RANK(S4,S$4:S$12,1)</f>
        <v>6</v>
      </c>
      <c r="S15" s="100">
        <f>S4-MIN(S$4,S$5,S$6,S$10,S$11,S$12)</f>
        <v>1.7824074074074062E-3</v>
      </c>
      <c r="U15" s="99">
        <f>RANK(V4,V$4:V$12,1)</f>
        <v>8</v>
      </c>
      <c r="V15" s="100">
        <f>V4-MIN(V$4,V$5,V$6,V$10,V$11,V$12)</f>
        <v>2.2453703703703698E-3</v>
      </c>
      <c r="X15" s="99">
        <f>RANK(Y4,Y$4:Y$12,1)</f>
        <v>2</v>
      </c>
      <c r="Y15" s="100">
        <f>Y4-MIN(Y$4,Y$5,Y$6,Y$10,Y$11,Y$12)</f>
        <v>9.2592592592616318E-5</v>
      </c>
      <c r="AA15" s="99">
        <f>RANK(AB4,AB$4:AB$12,1)</f>
        <v>5</v>
      </c>
      <c r="AB15" s="100">
        <f>AB4-MIN(AB$4,AB$5,AB$6,AB$10,AB$11,AB$12)</f>
        <v>1.6319444444444497E-3</v>
      </c>
      <c r="AD15" s="99">
        <f>RANK(AE4,AE$4:AE$12,1)</f>
        <v>5</v>
      </c>
      <c r="AE15" s="100">
        <f>AE4-MIN(AE$4,AE$5,AE$6,AE$10,AE$11,AE$12)</f>
        <v>1.9328703703703765E-3</v>
      </c>
      <c r="AG15" s="99">
        <f>RANK(AH4,AH$4:AH$12,1)</f>
        <v>1</v>
      </c>
      <c r="AH15" s="100">
        <f>AH4-MIN(AH$4,AH$5,AH$6,AH$10,AH$11,AH$12)</f>
        <v>0</v>
      </c>
      <c r="AJ15" s="99">
        <f>RANK(AK4,AK$4:AK$12,1)</f>
        <v>3</v>
      </c>
      <c r="AK15" s="100">
        <f>AK4-MIN(AK$4,AK$5,AK$6,AK$10,AK$11,AK$12)</f>
        <v>5.6712962962962576E-4</v>
      </c>
      <c r="AM15" s="99">
        <f>RANK(AN4,AN$4:AN$12,1)</f>
        <v>1</v>
      </c>
      <c r="AN15" s="100">
        <f>AN4-MIN(AN$4,AN$5,AN$6,AN$10,AN$11,AN$12)</f>
        <v>0</v>
      </c>
      <c r="AP15" s="99">
        <f>RANK(AQ4,AQ$4:AQ$12,1)</f>
        <v>1</v>
      </c>
      <c r="AQ15" s="100">
        <f>AQ4-MIN(AQ$4,AQ$5,AQ$6,AQ$10,AQ$11,AQ$12)</f>
        <v>0</v>
      </c>
      <c r="AS15" s="99">
        <f>RANK(AT4,AT$4:AT$12,1)</f>
        <v>1</v>
      </c>
      <c r="AT15" s="100">
        <f>AT4-MIN(AT$4,AT$5,AT$6,AT$10,AT$11,AT$12)</f>
        <v>0</v>
      </c>
      <c r="AV15" s="99">
        <f>RANK(AW4,AW$4:AW$12,1)</f>
        <v>2</v>
      </c>
      <c r="AW15" s="100">
        <f>AW4-MIN(AW$4,AW$5,AW$6,AW$10,AW$11,AW$12)</f>
        <v>1.0532407407407296E-3</v>
      </c>
      <c r="AX15" s="110"/>
      <c r="AY15" s="111" t="str">
        <f>A4</f>
        <v>Big Trouble in Little Tokyo</v>
      </c>
      <c r="AZ15" s="112">
        <f t="shared" ref="AZ15" si="32">D15</f>
        <v>1.7361111111111049E-4</v>
      </c>
      <c r="BA15" s="112">
        <f t="shared" ref="BA15" si="33">G15</f>
        <v>1.05324074074074E-3</v>
      </c>
      <c r="BB15" s="112">
        <f t="shared" ref="BB15" si="34">J15</f>
        <v>1.840277777777781E-3</v>
      </c>
      <c r="BC15" s="112">
        <f t="shared" ref="BC15" si="35">M15</f>
        <v>7.407407407407432E-4</v>
      </c>
      <c r="BD15" s="112">
        <f t="shared" ref="BD15" si="36">P15</f>
        <v>9.1435185185185369E-4</v>
      </c>
      <c r="BE15" s="112">
        <f t="shared" ref="BE15" si="37">S15</f>
        <v>1.7824074074074062E-3</v>
      </c>
      <c r="BF15" s="112">
        <f t="shared" ref="BF15" si="38">V15</f>
        <v>2.2453703703703698E-3</v>
      </c>
      <c r="BG15" s="112">
        <f t="shared" ref="BG15" si="39">Y15</f>
        <v>9.2592592592616318E-5</v>
      </c>
      <c r="BH15" s="112">
        <f t="shared" ref="BH15" si="40">AB15</f>
        <v>1.6319444444444497E-3</v>
      </c>
      <c r="BI15" s="112">
        <f t="shared" ref="BI15" si="41">AE15</f>
        <v>1.9328703703703765E-3</v>
      </c>
      <c r="BJ15" s="112">
        <f t="shared" ref="BJ15" si="42">AH15</f>
        <v>0</v>
      </c>
      <c r="BK15" s="112">
        <f t="shared" ref="BK15" si="43">AK15</f>
        <v>5.6712962962962576E-4</v>
      </c>
      <c r="BL15" s="112">
        <f t="shared" ref="BL15" si="44">AN15</f>
        <v>0</v>
      </c>
      <c r="BM15" s="112">
        <f t="shared" ref="BM15" si="45">AQ15</f>
        <v>0</v>
      </c>
      <c r="BN15" s="112">
        <f t="shared" ref="BN15" si="46">AT15</f>
        <v>0</v>
      </c>
      <c r="BO15" s="112">
        <f t="shared" ref="BO15" si="47">AW15</f>
        <v>1.0532407407407296E-3</v>
      </c>
    </row>
    <row r="16" spans="1:67" x14ac:dyDescent="0.2">
      <c r="C16" s="99">
        <f t="shared" ref="C16:C23" si="48">RANK(D5,D$4:D$12,1)</f>
        <v>1</v>
      </c>
      <c r="D16" s="100">
        <f t="shared" ref="D16:D23" si="49">D5-MIN(D$4,D$5,D$6,D$10,D$11,D$12)</f>
        <v>0</v>
      </c>
      <c r="F16" s="99">
        <f t="shared" ref="F16:F23" si="50">RANK(G5,G$4:G$12,1)</f>
        <v>1</v>
      </c>
      <c r="G16" s="100">
        <f t="shared" ref="G16:G23" si="51">G5-MIN(G$4,G$5,G$6,G$10,G$11,G$12)</f>
        <v>0</v>
      </c>
      <c r="I16" s="99">
        <f t="shared" ref="I16:I23" si="52">RANK(J5,J$4:J$12,1)</f>
        <v>8</v>
      </c>
      <c r="J16" s="100">
        <f t="shared" ref="J16:J23" si="53">J5-MIN(J$4,J$5,J$6,J$10,J$11,J$12)</f>
        <v>1.226851851851854E-3</v>
      </c>
      <c r="L16" s="99">
        <f t="shared" ref="L16:L23" si="54">RANK(M5,M$4:M$12,1)</f>
        <v>8</v>
      </c>
      <c r="M16" s="100">
        <f t="shared" ref="M16:M23" si="55">M5-MIN(M$4,M$5,M$6,M$10,M$11,M$12)</f>
        <v>1.0069444444444423E-3</v>
      </c>
      <c r="O16" s="99">
        <f t="shared" ref="O16:O23" si="56">RANK(P5,P$4:P$12,1)</f>
        <v>3</v>
      </c>
      <c r="P16" s="100">
        <f t="shared" ref="P16:P23" si="57">P5-MIN(P$4,P$5,P$6,P$10,P$11,P$12)</f>
        <v>6.481481481481477E-4</v>
      </c>
      <c r="R16" s="99">
        <f t="shared" ref="R16:R23" si="58">RANK(S5,S$4:S$12,1)</f>
        <v>2</v>
      </c>
      <c r="S16" s="100">
        <f t="shared" ref="S16:S23" si="59">S5-MIN(S$4,S$5,S$6,S$10,S$11,S$12)</f>
        <v>7.638888888888834E-4</v>
      </c>
      <c r="U16" s="99">
        <f t="shared" ref="U16:U23" si="60">RANK(V5,V$4:V$12,1)</f>
        <v>5</v>
      </c>
      <c r="V16" s="100">
        <f t="shared" ref="V16:V23" si="61">V5-MIN(V$4,V$5,V$6,V$10,V$11,V$12)</f>
        <v>1.5162037037037002E-3</v>
      </c>
      <c r="X16" s="99">
        <f t="shared" ref="X16:X23" si="62">RANK(Y5,Y$4:Y$12,1)</f>
        <v>4</v>
      </c>
      <c r="Y16" s="100">
        <f t="shared" ref="Y16:Y23" si="63">Y5-MIN(Y$4,Y$5,Y$6,Y$10,Y$11,Y$12)</f>
        <v>1.1111111111111183E-3</v>
      </c>
      <c r="AA16" s="99">
        <f t="shared" ref="AA16:AA23" si="64">RANK(AB5,AB$4:AB$12,1)</f>
        <v>6</v>
      </c>
      <c r="AB16" s="100">
        <f t="shared" ref="AB16:AB23" si="65">AB5-MIN(AB$4,AB$5,AB$6,AB$10,AB$11,AB$12)</f>
        <v>2.6736111111110988E-3</v>
      </c>
      <c r="AD16" s="99">
        <f t="shared" ref="AD16:AD23" si="66">RANK(AE5,AE$4:AE$12,1)</f>
        <v>6</v>
      </c>
      <c r="AE16" s="100">
        <f t="shared" ref="AE16:AE23" si="67">AE5-MIN(AE$4,AE$5,AE$6,AE$10,AE$11,AE$12)</f>
        <v>2.4768518518518412E-3</v>
      </c>
      <c r="AG16" s="99">
        <f t="shared" ref="AG16:AG23" si="68">RANK(AH5,AH$4:AH$12,1)</f>
        <v>5</v>
      </c>
      <c r="AH16" s="100">
        <f t="shared" ref="AH16:AH23" si="69">AH5-MIN(AH$4,AH$5,AH$6,AH$10,AH$11,AH$12)</f>
        <v>1.9907407407407235E-3</v>
      </c>
      <c r="AJ16" s="99">
        <f t="shared" ref="AJ16:AJ23" si="70">RANK(AK5,AK$4:AK$12,1)</f>
        <v>5</v>
      </c>
      <c r="AK16" s="100">
        <f t="shared" ref="AK16:AK23" si="71">AK5-MIN(AK$4,AK$5,AK$6,AK$10,AK$11,AK$12)</f>
        <v>1.631944444444422E-3</v>
      </c>
      <c r="AM16" s="99">
        <f t="shared" ref="AM16:AM23" si="72">RANK(AN5,AN$4:AN$12,1)</f>
        <v>5</v>
      </c>
      <c r="AN16" s="100">
        <f t="shared" ref="AN16:AN23" si="73">AN5-MIN(AN$4,AN$5,AN$6,AN$10,AN$11,AN$12)</f>
        <v>2.8703703703703565E-3</v>
      </c>
      <c r="AP16" s="99">
        <f t="shared" ref="AP16:AP23" si="74">RANK(AQ5,AQ$4:AQ$12,1)</f>
        <v>6</v>
      </c>
      <c r="AQ16" s="100">
        <f t="shared" ref="AQ16:AQ23" si="75">AQ5-MIN(AQ$4,AQ$5,AQ$6,AQ$10,AQ$11,AQ$12)</f>
        <v>5.0231481481481377E-3</v>
      </c>
      <c r="AS16" s="99">
        <f t="shared" ref="AS16:AS23" si="76">RANK(AT5,AT$4:AT$12,1)</f>
        <v>6</v>
      </c>
      <c r="AT16" s="100">
        <f t="shared" ref="AT16:AT23" si="77">AT5-MIN(AT$4,AT$5,AT$6,AT$10,AT$11,AT$12)</f>
        <v>4.3981481481481233E-3</v>
      </c>
      <c r="AV16" s="99">
        <f t="shared" ref="AV16:AV23" si="78">RANK(AW5,AW$4:AW$12,1)</f>
        <v>6</v>
      </c>
      <c r="AW16" s="100">
        <f t="shared" ref="AW16:AW23" si="79">AW5-MIN(AW$4,AW$5,AW$6,AW$10,AW$11,AW$12)</f>
        <v>3.7615740740740422E-3</v>
      </c>
      <c r="AX16" s="110"/>
      <c r="AY16" s="111" t="str">
        <f t="shared" ref="AY16:AY23" si="80">A5</f>
        <v>Maroon 4</v>
      </c>
      <c r="AZ16" s="112">
        <f t="shared" ref="AZ16:AZ23" si="81">D16</f>
        <v>0</v>
      </c>
      <c r="BA16" s="112">
        <f t="shared" ref="BA16:BA23" si="82">G16</f>
        <v>0</v>
      </c>
      <c r="BB16" s="112">
        <f t="shared" ref="BB16:BB23" si="83">J16</f>
        <v>1.226851851851854E-3</v>
      </c>
      <c r="BC16" s="112">
        <f t="shared" ref="BC16:BC23" si="84">M16</f>
        <v>1.0069444444444423E-3</v>
      </c>
      <c r="BD16" s="112">
        <f t="shared" ref="BD16:BD23" si="85">P16</f>
        <v>6.481481481481477E-4</v>
      </c>
      <c r="BE16" s="112">
        <f t="shared" ref="BE16:BE23" si="86">S16</f>
        <v>7.638888888888834E-4</v>
      </c>
      <c r="BF16" s="112">
        <f t="shared" ref="BF16:BF23" si="87">V16</f>
        <v>1.5162037037037002E-3</v>
      </c>
      <c r="BG16" s="112">
        <f t="shared" ref="BG16:BG23" si="88">Y16</f>
        <v>1.1111111111111183E-3</v>
      </c>
      <c r="BH16" s="112">
        <f t="shared" ref="BH16:BH23" si="89">AB16</f>
        <v>2.6736111111110988E-3</v>
      </c>
      <c r="BI16" s="112">
        <f t="shared" ref="BI16:BI23" si="90">AE16</f>
        <v>2.4768518518518412E-3</v>
      </c>
      <c r="BJ16" s="112">
        <f t="shared" ref="BJ16:BJ23" si="91">AH16</f>
        <v>1.9907407407407235E-3</v>
      </c>
      <c r="BK16" s="112">
        <f t="shared" ref="BK16:BK23" si="92">AK16</f>
        <v>1.631944444444422E-3</v>
      </c>
      <c r="BL16" s="112">
        <f t="shared" ref="BL16:BL23" si="93">AN16</f>
        <v>2.8703703703703565E-3</v>
      </c>
      <c r="BM16" s="112">
        <f t="shared" ref="BM16:BM23" si="94">AQ16</f>
        <v>5.0231481481481377E-3</v>
      </c>
      <c r="BN16" s="112">
        <f t="shared" ref="BN16:BN23" si="95">AT16</f>
        <v>4.3981481481481233E-3</v>
      </c>
      <c r="BO16" s="112">
        <f t="shared" ref="BO16:BO23" si="96">AW16</f>
        <v>3.7615740740740422E-3</v>
      </c>
    </row>
    <row r="17" spans="3:67" x14ac:dyDescent="0.2">
      <c r="C17" s="99">
        <f t="shared" si="48"/>
        <v>6</v>
      </c>
      <c r="D17" s="100">
        <f t="shared" si="49"/>
        <v>2.3148148148148008E-4</v>
      </c>
      <c r="F17" s="99">
        <f t="shared" si="50"/>
        <v>4</v>
      </c>
      <c r="G17" s="100">
        <f t="shared" si="51"/>
        <v>3.4722222222222099E-4</v>
      </c>
      <c r="I17" s="99">
        <f t="shared" si="52"/>
        <v>3</v>
      </c>
      <c r="J17" s="100">
        <f t="shared" si="53"/>
        <v>5.0925925925925791E-4</v>
      </c>
      <c r="L17" s="99">
        <f t="shared" si="54"/>
        <v>2</v>
      </c>
      <c r="M17" s="100">
        <f t="shared" si="55"/>
        <v>3.4722222222220711E-5</v>
      </c>
      <c r="O17" s="99">
        <f t="shared" si="56"/>
        <v>2</v>
      </c>
      <c r="P17" s="100">
        <f t="shared" si="57"/>
        <v>2.0833333333333121E-4</v>
      </c>
      <c r="R17" s="99">
        <f t="shared" si="58"/>
        <v>3</v>
      </c>
      <c r="S17" s="100">
        <f t="shared" si="59"/>
        <v>9.7222222222222154E-4</v>
      </c>
      <c r="U17" s="99">
        <f t="shared" si="60"/>
        <v>2</v>
      </c>
      <c r="V17" s="100">
        <f t="shared" si="61"/>
        <v>5.3240740740739811E-4</v>
      </c>
      <c r="X17" s="99">
        <f t="shared" si="62"/>
        <v>1</v>
      </c>
      <c r="Y17" s="100">
        <f t="shared" si="63"/>
        <v>0</v>
      </c>
      <c r="AA17" s="99">
        <f t="shared" si="64"/>
        <v>2</v>
      </c>
      <c r="AB17" s="100">
        <f t="shared" si="65"/>
        <v>1.0416666666666491E-3</v>
      </c>
      <c r="AD17" s="99">
        <f t="shared" si="66"/>
        <v>2</v>
      </c>
      <c r="AE17" s="100">
        <f t="shared" si="67"/>
        <v>1.4004629629629506E-3</v>
      </c>
      <c r="AG17" s="99">
        <f t="shared" si="68"/>
        <v>3</v>
      </c>
      <c r="AH17" s="100">
        <f t="shared" si="69"/>
        <v>5.5555555555554526E-4</v>
      </c>
      <c r="AJ17" s="99">
        <f t="shared" si="70"/>
        <v>2</v>
      </c>
      <c r="AK17" s="100">
        <f t="shared" si="71"/>
        <v>2.8935185185186008E-4</v>
      </c>
      <c r="AM17" s="99">
        <f t="shared" si="72"/>
        <v>3</v>
      </c>
      <c r="AN17" s="100">
        <f t="shared" si="73"/>
        <v>2.1990740740741033E-3</v>
      </c>
      <c r="AP17" s="99">
        <f t="shared" si="74"/>
        <v>3</v>
      </c>
      <c r="AQ17" s="100">
        <f t="shared" si="75"/>
        <v>9.8379629629632981E-4</v>
      </c>
      <c r="AS17" s="99">
        <f t="shared" si="76"/>
        <v>3</v>
      </c>
      <c r="AT17" s="100">
        <f t="shared" si="77"/>
        <v>7.7546296296299166E-4</v>
      </c>
      <c r="AV17" s="99">
        <f t="shared" si="78"/>
        <v>3</v>
      </c>
      <c r="AW17" s="100">
        <f t="shared" si="79"/>
        <v>1.3541666666666841E-3</v>
      </c>
      <c r="AX17" s="110"/>
      <c r="AY17" s="111" t="str">
        <f t="shared" si="80"/>
        <v>Slips is a Loser</v>
      </c>
      <c r="AZ17" s="112">
        <f t="shared" si="81"/>
        <v>2.3148148148148008E-4</v>
      </c>
      <c r="BA17" s="112">
        <f t="shared" si="82"/>
        <v>3.4722222222222099E-4</v>
      </c>
      <c r="BB17" s="112">
        <f t="shared" si="83"/>
        <v>5.0925925925925791E-4</v>
      </c>
      <c r="BC17" s="112">
        <f t="shared" si="84"/>
        <v>3.4722222222220711E-5</v>
      </c>
      <c r="BD17" s="112">
        <f t="shared" si="85"/>
        <v>2.0833333333333121E-4</v>
      </c>
      <c r="BE17" s="112">
        <f t="shared" si="86"/>
        <v>9.7222222222222154E-4</v>
      </c>
      <c r="BF17" s="112">
        <f t="shared" si="87"/>
        <v>5.3240740740739811E-4</v>
      </c>
      <c r="BG17" s="112">
        <f t="shared" si="88"/>
        <v>0</v>
      </c>
      <c r="BH17" s="112">
        <f t="shared" si="89"/>
        <v>1.0416666666666491E-3</v>
      </c>
      <c r="BI17" s="112">
        <f t="shared" si="90"/>
        <v>1.4004629629629506E-3</v>
      </c>
      <c r="BJ17" s="112">
        <f t="shared" si="91"/>
        <v>5.5555555555554526E-4</v>
      </c>
      <c r="BK17" s="112">
        <f t="shared" si="92"/>
        <v>2.8935185185186008E-4</v>
      </c>
      <c r="BL17" s="112">
        <f t="shared" si="93"/>
        <v>2.1990740740741033E-3</v>
      </c>
      <c r="BM17" s="112">
        <f t="shared" si="94"/>
        <v>9.8379629629632981E-4</v>
      </c>
      <c r="BN17" s="112">
        <f t="shared" si="95"/>
        <v>7.7546296296299166E-4</v>
      </c>
      <c r="BO17" s="112">
        <f t="shared" si="96"/>
        <v>1.3541666666666841E-3</v>
      </c>
    </row>
    <row r="18" spans="3:67" x14ac:dyDescent="0.2">
      <c r="C18" s="99">
        <f t="shared" si="48"/>
        <v>2</v>
      </c>
      <c r="D18" s="100">
        <f t="shared" si="49"/>
        <v>6.9444444444443157E-5</v>
      </c>
      <c r="F18" s="99">
        <f t="shared" si="50"/>
        <v>3</v>
      </c>
      <c r="G18" s="100">
        <f t="shared" si="51"/>
        <v>2.8935185185184967E-4</v>
      </c>
      <c r="I18" s="99">
        <f t="shared" si="52"/>
        <v>4</v>
      </c>
      <c r="J18" s="100">
        <f t="shared" si="53"/>
        <v>5.3240740740740505E-4</v>
      </c>
      <c r="L18" s="99">
        <f t="shared" si="54"/>
        <v>9</v>
      </c>
      <c r="M18" s="100">
        <f t="shared" si="55"/>
        <v>1.3541666666666632E-3</v>
      </c>
      <c r="O18" s="99">
        <f t="shared" si="56"/>
        <v>7</v>
      </c>
      <c r="P18" s="100">
        <f t="shared" si="57"/>
        <v>1.3194444444444356E-3</v>
      </c>
      <c r="R18" s="99">
        <f t="shared" si="58"/>
        <v>9</v>
      </c>
      <c r="S18" s="100">
        <f t="shared" si="59"/>
        <v>3.1944444444444303E-3</v>
      </c>
      <c r="U18" s="99">
        <f t="shared" si="60"/>
        <v>9</v>
      </c>
      <c r="V18" s="100">
        <f t="shared" si="61"/>
        <v>2.5462962962962826E-3</v>
      </c>
      <c r="X18" s="99">
        <f t="shared" si="62"/>
        <v>9</v>
      </c>
      <c r="Y18" s="100">
        <f t="shared" si="63"/>
        <v>4.2476851851851877E-3</v>
      </c>
      <c r="AA18" s="99">
        <f t="shared" si="64"/>
        <v>7</v>
      </c>
      <c r="AB18" s="100">
        <f t="shared" si="65"/>
        <v>3.7384259259259228E-3</v>
      </c>
      <c r="AD18" s="99">
        <f t="shared" si="66"/>
        <v>7</v>
      </c>
      <c r="AE18" s="100">
        <f t="shared" si="67"/>
        <v>4.479166666666673E-3</v>
      </c>
      <c r="AG18" s="99">
        <f t="shared" si="68"/>
        <v>8</v>
      </c>
      <c r="AH18" s="100">
        <f t="shared" si="69"/>
        <v>4.8379629629629606E-3</v>
      </c>
      <c r="AJ18" s="99">
        <f t="shared" si="70"/>
        <v>9</v>
      </c>
      <c r="AK18" s="100">
        <f t="shared" si="71"/>
        <v>1.4027777777777778E-2</v>
      </c>
      <c r="AM18" s="99">
        <f t="shared" si="72"/>
        <v>9</v>
      </c>
      <c r="AN18" s="100">
        <f t="shared" si="73"/>
        <v>1.9884259259259268E-2</v>
      </c>
      <c r="AP18" s="99">
        <f t="shared" si="74"/>
        <v>9</v>
      </c>
      <c r="AQ18" s="100">
        <f t="shared" si="75"/>
        <v>2.5902777777777775E-2</v>
      </c>
      <c r="AS18" s="99">
        <f t="shared" si="76"/>
        <v>9</v>
      </c>
      <c r="AT18" s="100">
        <f t="shared" si="77"/>
        <v>3.2488425925925907E-2</v>
      </c>
      <c r="AV18" s="99">
        <f t="shared" si="78"/>
        <v>9</v>
      </c>
      <c r="AW18" s="100">
        <f t="shared" si="79"/>
        <v>3.9328703703703671E-2</v>
      </c>
      <c r="AX18" s="110"/>
      <c r="AY18" s="111" t="str">
        <f t="shared" si="80"/>
        <v>Rosebud or Bust</v>
      </c>
      <c r="AZ18" s="112">
        <f t="shared" si="81"/>
        <v>6.9444444444443157E-5</v>
      </c>
      <c r="BA18" s="112">
        <f t="shared" si="82"/>
        <v>2.8935185185184967E-4</v>
      </c>
      <c r="BB18" s="112">
        <f t="shared" si="83"/>
        <v>5.3240740740740505E-4</v>
      </c>
      <c r="BC18" s="112">
        <f t="shared" si="84"/>
        <v>1.3541666666666632E-3</v>
      </c>
      <c r="BD18" s="112">
        <f t="shared" si="85"/>
        <v>1.3194444444444356E-3</v>
      </c>
      <c r="BE18" s="112">
        <f t="shared" si="86"/>
        <v>3.1944444444444303E-3</v>
      </c>
      <c r="BF18" s="112">
        <f t="shared" si="87"/>
        <v>2.5462962962962826E-3</v>
      </c>
      <c r="BG18" s="112">
        <f t="shared" si="88"/>
        <v>4.2476851851851877E-3</v>
      </c>
      <c r="BH18" s="112">
        <f t="shared" si="89"/>
        <v>3.7384259259259228E-3</v>
      </c>
      <c r="BI18" s="112">
        <f t="shared" si="90"/>
        <v>4.479166666666673E-3</v>
      </c>
      <c r="BJ18" s="112">
        <f t="shared" si="91"/>
        <v>4.8379629629629606E-3</v>
      </c>
      <c r="BK18" s="112">
        <f t="shared" si="92"/>
        <v>1.4027777777777778E-2</v>
      </c>
      <c r="BL18" s="112">
        <f t="shared" si="93"/>
        <v>1.9884259259259268E-2</v>
      </c>
      <c r="BM18" s="112">
        <f t="shared" si="94"/>
        <v>2.5902777777777775E-2</v>
      </c>
      <c r="BN18" s="112">
        <f t="shared" si="95"/>
        <v>3.2488425925925907E-2</v>
      </c>
      <c r="BO18" s="112">
        <f t="shared" si="96"/>
        <v>3.9328703703703671E-2</v>
      </c>
    </row>
    <row r="19" spans="3:67" x14ac:dyDescent="0.2">
      <c r="C19" s="99">
        <f t="shared" si="48"/>
        <v>3</v>
      </c>
      <c r="D19" s="100">
        <f t="shared" si="49"/>
        <v>1.2731481481481448E-4</v>
      </c>
      <c r="F19" s="99">
        <f t="shared" si="50"/>
        <v>6</v>
      </c>
      <c r="G19" s="100">
        <f t="shared" si="51"/>
        <v>8.6805555555555594E-4</v>
      </c>
      <c r="I19" s="99">
        <f t="shared" si="52"/>
        <v>7</v>
      </c>
      <c r="J19" s="100">
        <f t="shared" si="53"/>
        <v>8.9120370370370655E-4</v>
      </c>
      <c r="L19" s="99">
        <f t="shared" si="54"/>
        <v>6</v>
      </c>
      <c r="M19" s="100">
        <f t="shared" si="55"/>
        <v>9.3750000000000083E-4</v>
      </c>
      <c r="O19" s="99">
        <f t="shared" si="56"/>
        <v>6</v>
      </c>
      <c r="P19" s="100">
        <f t="shared" si="57"/>
        <v>1.1342592592592585E-3</v>
      </c>
      <c r="R19" s="99">
        <f t="shared" si="58"/>
        <v>7</v>
      </c>
      <c r="S19" s="100">
        <f t="shared" si="59"/>
        <v>2.0833333333333329E-3</v>
      </c>
      <c r="U19" s="99">
        <f t="shared" si="60"/>
        <v>6</v>
      </c>
      <c r="V19" s="100">
        <f t="shared" si="61"/>
        <v>1.9907407407407374E-3</v>
      </c>
      <c r="X19" s="99">
        <f t="shared" si="62"/>
        <v>7</v>
      </c>
      <c r="Y19" s="100">
        <f t="shared" si="63"/>
        <v>4.0972222222222382E-3</v>
      </c>
      <c r="AA19" s="99">
        <f t="shared" si="64"/>
        <v>9</v>
      </c>
      <c r="AB19" s="100">
        <f t="shared" si="65"/>
        <v>4.4097222222222315E-3</v>
      </c>
      <c r="AD19" s="99">
        <f t="shared" si="66"/>
        <v>9</v>
      </c>
      <c r="AE19" s="100">
        <f t="shared" si="67"/>
        <v>5.4513888888889084E-3</v>
      </c>
      <c r="AG19" s="99">
        <f t="shared" si="68"/>
        <v>9</v>
      </c>
      <c r="AH19" s="100">
        <f t="shared" si="69"/>
        <v>5.2314814814815036E-3</v>
      </c>
      <c r="AJ19" s="99">
        <f t="shared" si="70"/>
        <v>8</v>
      </c>
      <c r="AK19" s="100">
        <f t="shared" si="71"/>
        <v>5.0578703703703931E-3</v>
      </c>
      <c r="AM19" s="99">
        <f t="shared" si="72"/>
        <v>7</v>
      </c>
      <c r="AN19" s="100">
        <f t="shared" si="73"/>
        <v>5.9722222222222676E-3</v>
      </c>
      <c r="AP19" s="99">
        <f t="shared" si="74"/>
        <v>7</v>
      </c>
      <c r="AQ19" s="100">
        <f t="shared" si="75"/>
        <v>6.6087962962963487E-3</v>
      </c>
      <c r="AS19" s="99">
        <f t="shared" si="76"/>
        <v>7</v>
      </c>
      <c r="AT19" s="100">
        <f t="shared" si="77"/>
        <v>6.8055555555555924E-3</v>
      </c>
      <c r="AV19" s="99">
        <f t="shared" si="78"/>
        <v>7</v>
      </c>
      <c r="AW19" s="100">
        <f t="shared" si="79"/>
        <v>6.9675925925926085E-3</v>
      </c>
      <c r="AX19" s="110"/>
      <c r="AY19" s="111" t="str">
        <f t="shared" si="80"/>
        <v>Bermuda Quadrangles</v>
      </c>
      <c r="AZ19" s="112">
        <f t="shared" si="81"/>
        <v>1.2731481481481448E-4</v>
      </c>
      <c r="BA19" s="112">
        <f t="shared" si="82"/>
        <v>8.6805555555555594E-4</v>
      </c>
      <c r="BB19" s="112">
        <f t="shared" si="83"/>
        <v>8.9120370370370655E-4</v>
      </c>
      <c r="BC19" s="112">
        <f t="shared" si="84"/>
        <v>9.3750000000000083E-4</v>
      </c>
      <c r="BD19" s="112">
        <f t="shared" si="85"/>
        <v>1.1342592592592585E-3</v>
      </c>
      <c r="BE19" s="112">
        <f t="shared" si="86"/>
        <v>2.0833333333333329E-3</v>
      </c>
      <c r="BF19" s="112">
        <f t="shared" si="87"/>
        <v>1.9907407407407374E-3</v>
      </c>
      <c r="BG19" s="112">
        <f t="shared" si="88"/>
        <v>4.0972222222222382E-3</v>
      </c>
      <c r="BH19" s="112">
        <f t="shared" si="89"/>
        <v>4.4097222222222315E-3</v>
      </c>
      <c r="BI19" s="112">
        <f t="shared" si="90"/>
        <v>5.4513888888889084E-3</v>
      </c>
      <c r="BJ19" s="112">
        <f t="shared" si="91"/>
        <v>5.2314814814815036E-3</v>
      </c>
      <c r="BK19" s="112">
        <f t="shared" si="92"/>
        <v>5.0578703703703931E-3</v>
      </c>
      <c r="BL19" s="112">
        <f t="shared" si="93"/>
        <v>5.9722222222222676E-3</v>
      </c>
      <c r="BM19" s="112">
        <f t="shared" si="94"/>
        <v>6.6087962962963487E-3</v>
      </c>
      <c r="BN19" s="112">
        <f t="shared" si="95"/>
        <v>6.8055555555555924E-3</v>
      </c>
      <c r="BO19" s="112">
        <f t="shared" si="96"/>
        <v>6.9675925925926085E-3</v>
      </c>
    </row>
    <row r="20" spans="3:67" x14ac:dyDescent="0.2">
      <c r="C20" s="99">
        <f t="shared" si="48"/>
        <v>9</v>
      </c>
      <c r="D20" s="100">
        <f t="shared" si="49"/>
        <v>1.1574074074074073E-3</v>
      </c>
      <c r="F20" s="99">
        <f t="shared" si="50"/>
        <v>8</v>
      </c>
      <c r="G20" s="100">
        <f t="shared" si="51"/>
        <v>1.05324074074074E-3</v>
      </c>
      <c r="I20" s="99">
        <f t="shared" si="52"/>
        <v>5</v>
      </c>
      <c r="J20" s="100">
        <f t="shared" si="53"/>
        <v>7.5231481481481677E-4</v>
      </c>
      <c r="L20" s="99">
        <f t="shared" si="54"/>
        <v>7</v>
      </c>
      <c r="M20" s="100">
        <f t="shared" si="55"/>
        <v>9.6064814814814797E-4</v>
      </c>
      <c r="O20" s="99">
        <f t="shared" si="56"/>
        <v>9</v>
      </c>
      <c r="P20" s="100">
        <f t="shared" si="57"/>
        <v>2.0023148148148109E-3</v>
      </c>
      <c r="R20" s="99">
        <f t="shared" si="58"/>
        <v>8</v>
      </c>
      <c r="S20" s="100">
        <f t="shared" si="59"/>
        <v>2.3726851851851791E-3</v>
      </c>
      <c r="U20" s="99">
        <f t="shared" si="60"/>
        <v>7</v>
      </c>
      <c r="V20" s="100">
        <f t="shared" si="61"/>
        <v>2.187499999999995E-3</v>
      </c>
      <c r="X20" s="99">
        <f t="shared" si="62"/>
        <v>8</v>
      </c>
      <c r="Y20" s="100">
        <f t="shared" si="63"/>
        <v>4.2245370370370544E-3</v>
      </c>
      <c r="AA20" s="99">
        <f t="shared" si="64"/>
        <v>8</v>
      </c>
      <c r="AB20" s="100">
        <f t="shared" si="65"/>
        <v>3.9004629629629667E-3</v>
      </c>
      <c r="AD20" s="99">
        <f t="shared" si="66"/>
        <v>8</v>
      </c>
      <c r="AE20" s="100">
        <f t="shared" si="67"/>
        <v>4.7800925925925997E-3</v>
      </c>
      <c r="AG20" s="99">
        <f t="shared" si="68"/>
        <v>7</v>
      </c>
      <c r="AH20" s="100">
        <f t="shared" si="69"/>
        <v>4.7106481481481582E-3</v>
      </c>
      <c r="AJ20" s="99">
        <f t="shared" si="70"/>
        <v>7</v>
      </c>
      <c r="AK20" s="100">
        <f t="shared" si="71"/>
        <v>4.849537037037055E-3</v>
      </c>
      <c r="AM20" s="99">
        <f t="shared" si="72"/>
        <v>8</v>
      </c>
      <c r="AN20" s="100">
        <f t="shared" si="73"/>
        <v>6.6898148148148429E-3</v>
      </c>
      <c r="AP20" s="99">
        <f t="shared" si="74"/>
        <v>8</v>
      </c>
      <c r="AQ20" s="100">
        <f t="shared" si="75"/>
        <v>6.9675925925926085E-3</v>
      </c>
      <c r="AS20" s="99">
        <f t="shared" si="76"/>
        <v>8</v>
      </c>
      <c r="AT20" s="100">
        <f t="shared" si="77"/>
        <v>7.3842592592592571E-3</v>
      </c>
      <c r="AV20" s="99">
        <f t="shared" si="78"/>
        <v>8</v>
      </c>
      <c r="AW20" s="100">
        <f t="shared" si="79"/>
        <v>1.0821759259259239E-2</v>
      </c>
      <c r="AX20" s="110"/>
      <c r="AY20" s="111" t="str">
        <f t="shared" si="80"/>
        <v>Duff'd It Up - The Sequel</v>
      </c>
      <c r="AZ20" s="112">
        <f t="shared" si="81"/>
        <v>1.1574074074074073E-3</v>
      </c>
      <c r="BA20" s="112">
        <f t="shared" si="82"/>
        <v>1.05324074074074E-3</v>
      </c>
      <c r="BB20" s="112">
        <f t="shared" si="83"/>
        <v>7.5231481481481677E-4</v>
      </c>
      <c r="BC20" s="112">
        <f t="shared" si="84"/>
        <v>9.6064814814814797E-4</v>
      </c>
      <c r="BD20" s="112">
        <f t="shared" si="85"/>
        <v>2.0023148148148109E-3</v>
      </c>
      <c r="BE20" s="112">
        <f t="shared" si="86"/>
        <v>2.3726851851851791E-3</v>
      </c>
      <c r="BF20" s="112">
        <f t="shared" si="87"/>
        <v>2.187499999999995E-3</v>
      </c>
      <c r="BG20" s="112">
        <f t="shared" si="88"/>
        <v>4.2245370370370544E-3</v>
      </c>
      <c r="BH20" s="112">
        <f t="shared" si="89"/>
        <v>3.9004629629629667E-3</v>
      </c>
      <c r="BI20" s="112">
        <f t="shared" si="90"/>
        <v>4.7800925925925997E-3</v>
      </c>
      <c r="BJ20" s="112">
        <f t="shared" si="91"/>
        <v>4.7106481481481582E-3</v>
      </c>
      <c r="BK20" s="112">
        <f t="shared" si="92"/>
        <v>4.849537037037055E-3</v>
      </c>
      <c r="BL20" s="112">
        <f t="shared" si="93"/>
        <v>6.6898148148148429E-3</v>
      </c>
      <c r="BM20" s="112">
        <f t="shared" si="94"/>
        <v>6.9675925925926085E-3</v>
      </c>
      <c r="BN20" s="112">
        <f t="shared" si="95"/>
        <v>7.3842592592592571E-3</v>
      </c>
      <c r="BO20" s="112">
        <f t="shared" si="96"/>
        <v>1.0821759259259239E-2</v>
      </c>
    </row>
    <row r="21" spans="3:67" x14ac:dyDescent="0.2">
      <c r="C21" s="99">
        <f t="shared" si="48"/>
        <v>7</v>
      </c>
      <c r="D21" s="100">
        <f t="shared" si="49"/>
        <v>3.0092592592592497E-4</v>
      </c>
      <c r="F21" s="99">
        <f t="shared" si="50"/>
        <v>2</v>
      </c>
      <c r="G21" s="100">
        <f t="shared" si="51"/>
        <v>2.1990740740740825E-4</v>
      </c>
      <c r="I21" s="99">
        <f t="shared" si="52"/>
        <v>1</v>
      </c>
      <c r="J21" s="100">
        <f t="shared" si="53"/>
        <v>0</v>
      </c>
      <c r="L21" s="99">
        <f t="shared" si="54"/>
        <v>1</v>
      </c>
      <c r="M21" s="100">
        <f t="shared" si="55"/>
        <v>0</v>
      </c>
      <c r="O21" s="99">
        <f t="shared" si="56"/>
        <v>1</v>
      </c>
      <c r="P21" s="100">
        <f t="shared" si="57"/>
        <v>0</v>
      </c>
      <c r="R21" s="99">
        <f t="shared" si="58"/>
        <v>1</v>
      </c>
      <c r="S21" s="100">
        <f t="shared" si="59"/>
        <v>0</v>
      </c>
      <c r="U21" s="99">
        <f t="shared" si="60"/>
        <v>1</v>
      </c>
      <c r="V21" s="100">
        <f t="shared" si="61"/>
        <v>0</v>
      </c>
      <c r="X21" s="99">
        <f t="shared" si="62"/>
        <v>3</v>
      </c>
      <c r="Y21" s="100">
        <f t="shared" si="63"/>
        <v>2.4305555555556579E-4</v>
      </c>
      <c r="AA21" s="99">
        <f t="shared" si="64"/>
        <v>1</v>
      </c>
      <c r="AB21" s="100">
        <f t="shared" si="65"/>
        <v>0</v>
      </c>
      <c r="AD21" s="99">
        <f t="shared" si="66"/>
        <v>1</v>
      </c>
      <c r="AE21" s="100">
        <f t="shared" si="67"/>
        <v>0</v>
      </c>
      <c r="AG21" s="99">
        <f t="shared" si="68"/>
        <v>2</v>
      </c>
      <c r="AH21" s="100">
        <f t="shared" si="69"/>
        <v>1.3888888888888284E-4</v>
      </c>
      <c r="AJ21" s="99">
        <f t="shared" si="70"/>
        <v>1</v>
      </c>
      <c r="AK21" s="100">
        <f t="shared" si="71"/>
        <v>0</v>
      </c>
      <c r="AM21" s="99">
        <f t="shared" si="72"/>
        <v>2</v>
      </c>
      <c r="AN21" s="100">
        <f t="shared" si="73"/>
        <v>1.2268518518518678E-3</v>
      </c>
      <c r="AP21" s="99">
        <f t="shared" si="74"/>
        <v>2</v>
      </c>
      <c r="AQ21" s="100">
        <f t="shared" si="75"/>
        <v>8.7962962962964686E-4</v>
      </c>
      <c r="AS21" s="99">
        <f t="shared" si="76"/>
        <v>2</v>
      </c>
      <c r="AT21" s="100">
        <f t="shared" si="77"/>
        <v>3.8194444444444864E-4</v>
      </c>
      <c r="AV21" s="99">
        <f t="shared" si="78"/>
        <v>1</v>
      </c>
      <c r="AW21" s="100">
        <f t="shared" si="79"/>
        <v>0</v>
      </c>
      <c r="AX21" s="110"/>
      <c r="AY21" s="111" t="str">
        <f t="shared" si="80"/>
        <v>Red Nitro's</v>
      </c>
      <c r="AZ21" s="112">
        <f t="shared" si="81"/>
        <v>3.0092592592592497E-4</v>
      </c>
      <c r="BA21" s="112">
        <f t="shared" si="82"/>
        <v>2.1990740740740825E-4</v>
      </c>
      <c r="BB21" s="112">
        <f t="shared" si="83"/>
        <v>0</v>
      </c>
      <c r="BC21" s="112">
        <f t="shared" si="84"/>
        <v>0</v>
      </c>
      <c r="BD21" s="112">
        <f t="shared" si="85"/>
        <v>0</v>
      </c>
      <c r="BE21" s="112">
        <f t="shared" si="86"/>
        <v>0</v>
      </c>
      <c r="BF21" s="112">
        <f t="shared" si="87"/>
        <v>0</v>
      </c>
      <c r="BG21" s="112">
        <f t="shared" si="88"/>
        <v>2.4305555555556579E-4</v>
      </c>
      <c r="BH21" s="112">
        <f t="shared" si="89"/>
        <v>0</v>
      </c>
      <c r="BI21" s="112">
        <f t="shared" si="90"/>
        <v>0</v>
      </c>
      <c r="BJ21" s="112">
        <f t="shared" si="91"/>
        <v>1.3888888888888284E-4</v>
      </c>
      <c r="BK21" s="112">
        <f t="shared" si="92"/>
        <v>0</v>
      </c>
      <c r="BL21" s="112">
        <f t="shared" si="93"/>
        <v>1.2268518518518678E-3</v>
      </c>
      <c r="BM21" s="112">
        <f t="shared" si="94"/>
        <v>8.7962962962964686E-4</v>
      </c>
      <c r="BN21" s="112">
        <f t="shared" si="95"/>
        <v>3.8194444444444864E-4</v>
      </c>
      <c r="BO21" s="112">
        <f t="shared" si="96"/>
        <v>0</v>
      </c>
    </row>
    <row r="22" spans="3:67" x14ac:dyDescent="0.2">
      <c r="C22" s="99">
        <f t="shared" si="48"/>
        <v>5</v>
      </c>
      <c r="D22" s="100">
        <f t="shared" si="49"/>
        <v>2.1990740740740651E-4</v>
      </c>
      <c r="F22" s="99">
        <f t="shared" si="50"/>
        <v>5</v>
      </c>
      <c r="G22" s="100">
        <f t="shared" si="51"/>
        <v>7.523148148148133E-4</v>
      </c>
      <c r="I22" s="99">
        <f t="shared" si="52"/>
        <v>2</v>
      </c>
      <c r="J22" s="100">
        <f t="shared" si="53"/>
        <v>4.2824074074074292E-4</v>
      </c>
      <c r="L22" s="99">
        <f t="shared" si="54"/>
        <v>3</v>
      </c>
      <c r="M22" s="100">
        <f t="shared" si="55"/>
        <v>4.745370370370372E-4</v>
      </c>
      <c r="O22" s="99">
        <f t="shared" si="56"/>
        <v>4</v>
      </c>
      <c r="P22" s="100">
        <f t="shared" si="57"/>
        <v>7.1759259259258912E-4</v>
      </c>
      <c r="R22" s="99">
        <f t="shared" si="58"/>
        <v>4</v>
      </c>
      <c r="S22" s="100">
        <f t="shared" si="59"/>
        <v>1.5624999999999944E-3</v>
      </c>
      <c r="U22" s="99">
        <f t="shared" si="60"/>
        <v>3</v>
      </c>
      <c r="V22" s="100">
        <f t="shared" si="61"/>
        <v>1.203703703703693E-3</v>
      </c>
      <c r="X22" s="99">
        <f t="shared" si="62"/>
        <v>6</v>
      </c>
      <c r="Y22" s="100">
        <f t="shared" si="63"/>
        <v>1.2500000000000011E-3</v>
      </c>
      <c r="AA22" s="99">
        <f t="shared" si="64"/>
        <v>3</v>
      </c>
      <c r="AB22" s="100">
        <f t="shared" si="65"/>
        <v>1.1805555555555458E-3</v>
      </c>
      <c r="AD22" s="99">
        <f t="shared" si="66"/>
        <v>3</v>
      </c>
      <c r="AE22" s="100">
        <f t="shared" si="67"/>
        <v>1.6319444444444359E-3</v>
      </c>
      <c r="AG22" s="99">
        <f t="shared" si="68"/>
        <v>4</v>
      </c>
      <c r="AH22" s="100">
        <f t="shared" si="69"/>
        <v>1.9328703703703626E-3</v>
      </c>
      <c r="AJ22" s="99">
        <f t="shared" si="70"/>
        <v>4</v>
      </c>
      <c r="AK22" s="100">
        <f t="shared" si="71"/>
        <v>1.4351851851851782E-3</v>
      </c>
      <c r="AM22" s="99">
        <f t="shared" si="72"/>
        <v>4</v>
      </c>
      <c r="AN22" s="100">
        <f t="shared" si="73"/>
        <v>2.5462962962962965E-3</v>
      </c>
      <c r="AP22" s="99">
        <f t="shared" si="74"/>
        <v>4</v>
      </c>
      <c r="AQ22" s="100">
        <f t="shared" si="75"/>
        <v>3.1828703703703498E-3</v>
      </c>
      <c r="AS22" s="99">
        <f t="shared" si="76"/>
        <v>4</v>
      </c>
      <c r="AT22" s="100">
        <f t="shared" si="77"/>
        <v>3.1249999999999611E-3</v>
      </c>
      <c r="AV22" s="99">
        <f t="shared" si="78"/>
        <v>5</v>
      </c>
      <c r="AW22" s="100">
        <f t="shared" si="79"/>
        <v>3.2754629629629106E-3</v>
      </c>
      <c r="AX22" s="110"/>
      <c r="AY22" s="111" t="str">
        <f t="shared" si="80"/>
        <v>Black Widows</v>
      </c>
      <c r="AZ22" s="112">
        <f t="shared" si="81"/>
        <v>2.1990740740740651E-4</v>
      </c>
      <c r="BA22" s="112">
        <f t="shared" si="82"/>
        <v>7.523148148148133E-4</v>
      </c>
      <c r="BB22" s="112">
        <f t="shared" si="83"/>
        <v>4.2824074074074292E-4</v>
      </c>
      <c r="BC22" s="112">
        <f t="shared" si="84"/>
        <v>4.745370370370372E-4</v>
      </c>
      <c r="BD22" s="112">
        <f t="shared" si="85"/>
        <v>7.1759259259258912E-4</v>
      </c>
      <c r="BE22" s="112">
        <f t="shared" si="86"/>
        <v>1.5624999999999944E-3</v>
      </c>
      <c r="BF22" s="112">
        <f t="shared" si="87"/>
        <v>1.203703703703693E-3</v>
      </c>
      <c r="BG22" s="112">
        <f t="shared" si="88"/>
        <v>1.2500000000000011E-3</v>
      </c>
      <c r="BH22" s="112">
        <f t="shared" si="89"/>
        <v>1.1805555555555458E-3</v>
      </c>
      <c r="BI22" s="112">
        <f t="shared" si="90"/>
        <v>1.6319444444444359E-3</v>
      </c>
      <c r="BJ22" s="112">
        <f t="shared" si="91"/>
        <v>1.9328703703703626E-3</v>
      </c>
      <c r="BK22" s="112">
        <f t="shared" si="92"/>
        <v>1.4351851851851782E-3</v>
      </c>
      <c r="BL22" s="112">
        <f t="shared" si="93"/>
        <v>2.5462962962962965E-3</v>
      </c>
      <c r="BM22" s="112">
        <f t="shared" si="94"/>
        <v>3.1828703703703498E-3</v>
      </c>
      <c r="BN22" s="112">
        <f t="shared" si="95"/>
        <v>3.1249999999999611E-3</v>
      </c>
      <c r="BO22" s="112">
        <f t="shared" si="96"/>
        <v>3.2754629629629106E-3</v>
      </c>
    </row>
    <row r="23" spans="3:67" x14ac:dyDescent="0.2">
      <c r="C23" s="99">
        <f t="shared" si="48"/>
        <v>8</v>
      </c>
      <c r="D23" s="100">
        <f t="shared" si="49"/>
        <v>1.099537037037036E-3</v>
      </c>
      <c r="F23" s="99">
        <f t="shared" si="50"/>
        <v>7</v>
      </c>
      <c r="G23" s="100">
        <f t="shared" si="51"/>
        <v>1.0300925925925929E-3</v>
      </c>
      <c r="I23" s="99">
        <f t="shared" si="52"/>
        <v>5</v>
      </c>
      <c r="J23" s="100">
        <f t="shared" si="53"/>
        <v>7.5231481481481677E-4</v>
      </c>
      <c r="L23" s="99">
        <f t="shared" si="54"/>
        <v>5</v>
      </c>
      <c r="M23" s="100">
        <f t="shared" si="55"/>
        <v>7.9861111111111105E-4</v>
      </c>
      <c r="O23" s="99">
        <f t="shared" si="56"/>
        <v>8</v>
      </c>
      <c r="P23" s="100">
        <f t="shared" si="57"/>
        <v>1.9328703703703695E-3</v>
      </c>
      <c r="R23" s="99">
        <f t="shared" si="58"/>
        <v>5</v>
      </c>
      <c r="S23" s="100">
        <f t="shared" si="59"/>
        <v>1.759259259259259E-3</v>
      </c>
      <c r="U23" s="99">
        <f t="shared" si="60"/>
        <v>4</v>
      </c>
      <c r="V23" s="100">
        <f t="shared" si="61"/>
        <v>1.307870370370362E-3</v>
      </c>
      <c r="X23" s="99">
        <f t="shared" si="62"/>
        <v>5</v>
      </c>
      <c r="Y23" s="100">
        <f t="shared" si="63"/>
        <v>1.1458333333333459E-3</v>
      </c>
      <c r="AA23" s="99">
        <f t="shared" si="64"/>
        <v>4</v>
      </c>
      <c r="AB23" s="100">
        <f t="shared" si="65"/>
        <v>1.1805555555555597E-3</v>
      </c>
      <c r="AD23" s="99">
        <f t="shared" si="66"/>
        <v>4</v>
      </c>
      <c r="AE23" s="100">
        <f t="shared" si="67"/>
        <v>1.8402777777777879E-3</v>
      </c>
      <c r="AG23" s="99">
        <f t="shared" si="68"/>
        <v>6</v>
      </c>
      <c r="AH23" s="100">
        <f t="shared" si="69"/>
        <v>2.1412037037037146E-3</v>
      </c>
      <c r="AJ23" s="99">
        <f t="shared" si="70"/>
        <v>6</v>
      </c>
      <c r="AK23" s="100">
        <f t="shared" si="71"/>
        <v>1.8865740740740822E-3</v>
      </c>
      <c r="AM23" s="99">
        <f t="shared" si="72"/>
        <v>6</v>
      </c>
      <c r="AN23" s="100">
        <f t="shared" si="73"/>
        <v>4.1319444444444797E-3</v>
      </c>
      <c r="AP23" s="99">
        <f t="shared" si="74"/>
        <v>5</v>
      </c>
      <c r="AQ23" s="100">
        <f t="shared" si="75"/>
        <v>4.155092592592613E-3</v>
      </c>
      <c r="AS23" s="99">
        <f t="shared" si="76"/>
        <v>5</v>
      </c>
      <c r="AT23" s="100">
        <f t="shared" si="77"/>
        <v>4.0162037037037024E-3</v>
      </c>
      <c r="AV23" s="99">
        <f t="shared" si="78"/>
        <v>4</v>
      </c>
      <c r="AW23" s="100">
        <f t="shared" si="79"/>
        <v>3.1712962962962832E-3</v>
      </c>
      <c r="AX23" s="110"/>
      <c r="AY23" s="111" t="str">
        <f t="shared" si="80"/>
        <v>Octonaughts</v>
      </c>
      <c r="AZ23" s="112">
        <f t="shared" si="81"/>
        <v>1.099537037037036E-3</v>
      </c>
      <c r="BA23" s="112">
        <f t="shared" si="82"/>
        <v>1.0300925925925929E-3</v>
      </c>
      <c r="BB23" s="112">
        <f t="shared" si="83"/>
        <v>7.5231481481481677E-4</v>
      </c>
      <c r="BC23" s="112">
        <f t="shared" si="84"/>
        <v>7.9861111111111105E-4</v>
      </c>
      <c r="BD23" s="112">
        <f t="shared" si="85"/>
        <v>1.9328703703703695E-3</v>
      </c>
      <c r="BE23" s="112">
        <f t="shared" si="86"/>
        <v>1.759259259259259E-3</v>
      </c>
      <c r="BF23" s="112">
        <f t="shared" si="87"/>
        <v>1.307870370370362E-3</v>
      </c>
      <c r="BG23" s="112">
        <f t="shared" si="88"/>
        <v>1.1458333333333459E-3</v>
      </c>
      <c r="BH23" s="112">
        <f t="shared" si="89"/>
        <v>1.1805555555555597E-3</v>
      </c>
      <c r="BI23" s="112">
        <f t="shared" si="90"/>
        <v>1.8402777777777879E-3</v>
      </c>
      <c r="BJ23" s="112">
        <f t="shared" si="91"/>
        <v>2.1412037037037146E-3</v>
      </c>
      <c r="BK23" s="112">
        <f t="shared" si="92"/>
        <v>1.8865740740740822E-3</v>
      </c>
      <c r="BL23" s="112">
        <f t="shared" si="93"/>
        <v>4.1319444444444797E-3</v>
      </c>
      <c r="BM23" s="112">
        <f t="shared" si="94"/>
        <v>4.155092592592613E-3</v>
      </c>
      <c r="BN23" s="112">
        <f t="shared" si="95"/>
        <v>4.0162037037037024E-3</v>
      </c>
      <c r="BO23" s="112">
        <f t="shared" si="96"/>
        <v>3.1712962962962832E-3</v>
      </c>
    </row>
  </sheetData>
  <phoneticPr fontId="0" type="noConversion"/>
  <pageMargins left="0.75" right="0.75" top="1" bottom="1" header="0.5" footer="0.5"/>
  <pageSetup paperSize="9" scale="1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54"/>
  <sheetViews>
    <sheetView showZeros="0" zoomScale="95" workbookViewId="0">
      <selection activeCell="AB7" sqref="AB7"/>
    </sheetView>
  </sheetViews>
  <sheetFormatPr defaultRowHeight="12.75" x14ac:dyDescent="0.2"/>
  <cols>
    <col min="1" max="1" width="3.7109375" style="2" customWidth="1"/>
    <col min="2" max="2" width="16.42578125" style="1" customWidth="1"/>
    <col min="3" max="3" width="5.7109375" style="2" customWidth="1"/>
    <col min="4" max="4" width="5.7109375" style="7" customWidth="1"/>
    <col min="5" max="5" width="5.7109375" style="3" customWidth="1"/>
    <col min="6" max="6" width="6.7109375" style="7" customWidth="1"/>
    <col min="7" max="7" width="1.7109375" style="1" customWidth="1"/>
    <col min="8" max="8" width="5.7109375" style="2" customWidth="1"/>
    <col min="9" max="9" width="5.7109375" style="7" customWidth="1"/>
    <col min="10" max="10" width="5.7109375" style="3" customWidth="1"/>
    <col min="11" max="11" width="6.7109375" style="7" customWidth="1"/>
    <col min="12" max="12" width="1.7109375" style="1" customWidth="1"/>
    <col min="13" max="13" width="5.7109375" style="2" customWidth="1"/>
    <col min="14" max="14" width="7.85546875" style="7" bestFit="1" customWidth="1"/>
    <col min="15" max="15" width="5.7109375" style="3" customWidth="1"/>
    <col min="16" max="16" width="6.7109375" style="7" customWidth="1"/>
    <col min="17" max="17" width="1.7109375" style="1" customWidth="1"/>
    <col min="18" max="18" width="5.7109375" style="2" customWidth="1"/>
    <col min="19" max="19" width="5.7109375" style="7" customWidth="1"/>
    <col min="20" max="20" width="5.7109375" style="3" customWidth="1"/>
    <col min="21" max="21" width="6.7109375" style="7" customWidth="1"/>
    <col min="22" max="22" width="1.7109375" style="1" customWidth="1"/>
    <col min="23" max="23" width="7.7109375" style="3" customWidth="1"/>
    <col min="24" max="25" width="7.7109375" style="7" customWidth="1"/>
    <col min="26" max="26" width="1.140625" style="1" customWidth="1"/>
    <col min="27" max="28" width="6" style="1" customWidth="1"/>
    <col min="29" max="16384" width="9.140625" style="1"/>
  </cols>
  <sheetData>
    <row r="1" spans="1:28" s="6" customFormat="1" x14ac:dyDescent="0.2">
      <c r="A1" s="21"/>
      <c r="B1" s="22"/>
      <c r="C1" s="8" t="s">
        <v>33</v>
      </c>
      <c r="D1" s="14"/>
      <c r="E1" s="16"/>
      <c r="F1" s="18"/>
      <c r="G1" s="1"/>
      <c r="H1" s="8" t="s">
        <v>34</v>
      </c>
      <c r="I1" s="14"/>
      <c r="J1" s="16"/>
      <c r="K1" s="18"/>
      <c r="L1" s="1"/>
      <c r="M1" s="8" t="s">
        <v>35</v>
      </c>
      <c r="N1" s="14"/>
      <c r="O1" s="16"/>
      <c r="P1" s="18"/>
      <c r="Q1" s="1"/>
      <c r="R1" s="8" t="s">
        <v>36</v>
      </c>
      <c r="S1" s="14"/>
      <c r="T1" s="16"/>
      <c r="U1" s="18"/>
      <c r="W1" s="24" t="s">
        <v>39</v>
      </c>
      <c r="X1" s="23" t="s">
        <v>39</v>
      </c>
      <c r="Y1" s="23" t="s">
        <v>40</v>
      </c>
    </row>
    <row r="2" spans="1:28" x14ac:dyDescent="0.2">
      <c r="B2" s="154" t="s">
        <v>28</v>
      </c>
      <c r="C2" s="149" t="s">
        <v>11</v>
      </c>
      <c r="D2" s="23" t="s">
        <v>7</v>
      </c>
      <c r="E2" s="24" t="s">
        <v>32</v>
      </c>
      <c r="F2" s="23" t="s">
        <v>8</v>
      </c>
      <c r="H2" s="9" t="s">
        <v>11</v>
      </c>
      <c r="I2" s="15" t="s">
        <v>7</v>
      </c>
      <c r="J2" s="17" t="s">
        <v>32</v>
      </c>
      <c r="K2" s="15" t="s">
        <v>8</v>
      </c>
      <c r="M2" s="9" t="s">
        <v>11</v>
      </c>
      <c r="N2" s="15" t="s">
        <v>7</v>
      </c>
      <c r="O2" s="17" t="s">
        <v>32</v>
      </c>
      <c r="P2" s="15" t="s">
        <v>8</v>
      </c>
      <c r="R2" s="9" t="s">
        <v>11</v>
      </c>
      <c r="S2" s="15" t="s">
        <v>7</v>
      </c>
      <c r="T2" s="17" t="s">
        <v>32</v>
      </c>
      <c r="U2" s="15" t="s">
        <v>8</v>
      </c>
      <c r="W2" s="127" t="s">
        <v>38</v>
      </c>
      <c r="X2" s="128" t="s">
        <v>7</v>
      </c>
      <c r="Y2" s="128" t="s">
        <v>8</v>
      </c>
      <c r="AA2" s="9" t="s">
        <v>10</v>
      </c>
      <c r="AB2" s="9" t="s">
        <v>95</v>
      </c>
    </row>
    <row r="3" spans="1:28" x14ac:dyDescent="0.2">
      <c r="A3" s="4"/>
      <c r="B3" s="151" t="str">
        <f>+'Team Selection'!D3</f>
        <v>Simon Bevege</v>
      </c>
      <c r="C3" s="123">
        <f>VLOOKUP($B3&amp;"1",Data!$C:$G,2,FALSE)</f>
        <v>4</v>
      </c>
      <c r="D3" s="124">
        <f>VLOOKUP($B3&amp;"1",Data!$C:$G,4,FALSE)</f>
        <v>7.789351851851852E-3</v>
      </c>
      <c r="E3" s="125">
        <f>VLOOKUP($B3&amp;"1",Data!$C:$G,5,FALSE)</f>
        <v>3.39</v>
      </c>
      <c r="F3" s="126">
        <f t="shared" ref="F3" si="0">+D3/E3</f>
        <v>2.2977439091008411E-3</v>
      </c>
      <c r="H3" s="123">
        <f>VLOOKUP($B3&amp;"2",Data!$C:$G,2,FALSE)</f>
        <v>8</v>
      </c>
      <c r="I3" s="124">
        <f>VLOOKUP($B3&amp;"2",Data!$C:$G,4,FALSE)</f>
        <v>1.2418981481481482E-2</v>
      </c>
      <c r="J3" s="125">
        <f>VLOOKUP($B3&amp;"2",Data!$C:$G,5,FALSE)</f>
        <v>5.13</v>
      </c>
      <c r="K3" s="126">
        <f t="shared" ref="K3" si="1">+I3/J3</f>
        <v>2.420854089957404E-3</v>
      </c>
      <c r="M3" s="123">
        <f>VLOOKUP($B3&amp;"3",Data!$C:$G,2,FALSE)</f>
        <v>11</v>
      </c>
      <c r="N3" s="124">
        <f>VLOOKUP($B3&amp;"3",Data!$C:$G,4,FALSE)</f>
        <v>1.2349537037037039E-2</v>
      </c>
      <c r="O3" s="125">
        <f>VLOOKUP($B3&amp;"3",Data!$C:$G,5,FALSE)</f>
        <v>5.3</v>
      </c>
      <c r="P3" s="126">
        <f t="shared" ref="P3" si="2">+N3/O3</f>
        <v>2.3301013277428374E-3</v>
      </c>
      <c r="R3" s="123">
        <f>VLOOKUP($B3&amp;"4",Data!$C:$G,2,FALSE)</f>
        <v>13</v>
      </c>
      <c r="S3" s="124">
        <f>VLOOKUP($B3&amp;"4",Data!$C:$G,4,FALSE)</f>
        <v>1.0937500000000001E-2</v>
      </c>
      <c r="T3" s="125">
        <f>VLOOKUP($B3&amp;"4",Data!$C:$G,5,FALSE)</f>
        <v>4.5</v>
      </c>
      <c r="U3" s="126">
        <f t="shared" ref="U3" si="3">+S3/T3</f>
        <v>2.4305555555555556E-3</v>
      </c>
      <c r="W3" s="129">
        <f t="shared" ref="W3" si="4">SUM(E3,J3,O3,T3)</f>
        <v>18.32</v>
      </c>
      <c r="X3" s="148">
        <f t="shared" ref="X3" si="5">SUM(D3,I3,N3,S3)</f>
        <v>4.3495370370370379E-2</v>
      </c>
      <c r="Y3" s="126">
        <f t="shared" ref="Y3" si="6">SUM(D3,I3,N3,S3)/W3</f>
        <v>2.3742014394306974E-3</v>
      </c>
      <c r="AA3" s="9">
        <f t="shared" ref="AA3:AA11" si="7">RANK(Y3,Y$3:Y$11,1)</f>
        <v>1</v>
      </c>
      <c r="AB3" s="9">
        <f>VLOOKUP(B3,'Team Selection'!$J$15:$L$50,3,FALSE)</f>
        <v>1</v>
      </c>
    </row>
    <row r="4" spans="1:28" x14ac:dyDescent="0.2">
      <c r="A4" s="4"/>
      <c r="B4" s="151" t="str">
        <f>+'Team Selection'!D4</f>
        <v>Andrew Coles</v>
      </c>
      <c r="C4" s="123">
        <f>VLOOKUP($B4&amp;"1",Data!$C:$G,2,FALSE)</f>
        <v>4</v>
      </c>
      <c r="D4" s="124">
        <f>VLOOKUP($B4&amp;"1",Data!$C:$G,4,FALSE)</f>
        <v>8.6689814814814806E-3</v>
      </c>
      <c r="E4" s="125">
        <f>VLOOKUP($B4&amp;"1",Data!$C:$G,5,FALSE)</f>
        <v>3.39</v>
      </c>
      <c r="F4" s="126">
        <f t="shared" ref="F4:F11" si="8">+D4/E4</f>
        <v>2.5572216759532388E-3</v>
      </c>
      <c r="H4" s="123">
        <f>VLOOKUP($B4&amp;"2",Data!$C:$G,2,FALSE)</f>
        <v>8</v>
      </c>
      <c r="I4" s="124">
        <f>VLOOKUP($B4&amp;"2",Data!$C:$G,4,FALSE)</f>
        <v>1.4166666666666666E-2</v>
      </c>
      <c r="J4" s="125">
        <f>VLOOKUP($B4&amp;"2",Data!$C:$G,5,FALSE)</f>
        <v>5.13</v>
      </c>
      <c r="K4" s="126">
        <f t="shared" ref="K4:K11" si="9">+I4/J4</f>
        <v>2.7615334632878491E-3</v>
      </c>
      <c r="M4" s="123">
        <f>VLOOKUP($B4&amp;"3",Data!$C:$G,2,FALSE)</f>
        <v>11</v>
      </c>
      <c r="N4" s="124">
        <f>VLOOKUP($B4&amp;"3",Data!$C:$G,4,FALSE)</f>
        <v>1.3796296296296298E-2</v>
      </c>
      <c r="O4" s="125">
        <f>VLOOKUP($B4&amp;"3",Data!$C:$G,5,FALSE)</f>
        <v>5.3</v>
      </c>
      <c r="P4" s="126">
        <f t="shared" ref="P4:P11" si="10">+N4/O4</f>
        <v>2.603074772886094E-3</v>
      </c>
      <c r="R4" s="123">
        <f>VLOOKUP($B4&amp;"4",Data!$C:$G,2,FALSE)</f>
        <v>15</v>
      </c>
      <c r="S4" s="124">
        <f>VLOOKUP($B4&amp;"4",Data!$C:$G,4,FALSE)</f>
        <v>1.0150462962962964E-2</v>
      </c>
      <c r="T4" s="125">
        <f>VLOOKUP($B4&amp;"4",Data!$C:$G,5,FALSE)</f>
        <v>4.49</v>
      </c>
      <c r="U4" s="126">
        <f t="shared" ref="U4:U11" si="11">+S4/T4</f>
        <v>2.2606821743792792E-3</v>
      </c>
      <c r="W4" s="129">
        <f t="shared" ref="W4:W11" si="12">SUM(E4,J4,O4,T4)</f>
        <v>18.310000000000002</v>
      </c>
      <c r="X4" s="148">
        <f t="shared" ref="X4:X11" si="13">SUM(D4,I4,N4,S4)</f>
        <v>4.6782407407407411E-2</v>
      </c>
      <c r="Y4" s="126">
        <f t="shared" ref="Y4:Y11" si="14">SUM(D4,I4,N4,S4)/W4</f>
        <v>2.5550195197928676E-3</v>
      </c>
      <c r="AA4" s="166">
        <f t="shared" si="7"/>
        <v>3</v>
      </c>
      <c r="AB4" s="166">
        <f>VLOOKUP(B4,'Team Selection'!$J$15:$L$50,3,FALSE)</f>
        <v>2</v>
      </c>
    </row>
    <row r="5" spans="1:28" x14ac:dyDescent="0.2">
      <c r="A5" s="4"/>
      <c r="B5" s="151" t="str">
        <f>+'Team Selection'!D5</f>
        <v>Stevie Williams</v>
      </c>
      <c r="C5" s="123">
        <f>VLOOKUP($B5&amp;"1",Data!$C:$G,2,FALSE)</f>
        <v>4</v>
      </c>
      <c r="D5" s="124">
        <f>VLOOKUP($B5&amp;"1",Data!$C:$G,4,FALSE)</f>
        <v>8.4143518518518517E-3</v>
      </c>
      <c r="E5" s="125">
        <f>VLOOKUP($B5&amp;"1",Data!$C:$G,5,FALSE)</f>
        <v>3.39</v>
      </c>
      <c r="F5" s="126">
        <f t="shared" si="8"/>
        <v>2.4821096908117556E-3</v>
      </c>
      <c r="H5" s="123">
        <f>VLOOKUP($B5&amp;"2",Data!$C:$G,2,FALSE)</f>
        <v>8</v>
      </c>
      <c r="I5" s="124">
        <f>VLOOKUP($B5&amp;"2",Data!$C:$G,4,FALSE)</f>
        <v>1.4039351851851851E-2</v>
      </c>
      <c r="J5" s="125">
        <f>VLOOKUP($B5&amp;"2",Data!$C:$G,5,FALSE)</f>
        <v>5.13</v>
      </c>
      <c r="K5" s="126">
        <f t="shared" si="9"/>
        <v>2.7367157605949028E-3</v>
      </c>
      <c r="M5" s="123">
        <f>VLOOKUP($B5&amp;"3",Data!$C:$G,2,FALSE)</f>
        <v>11</v>
      </c>
      <c r="N5" s="124">
        <f>VLOOKUP($B5&amp;"3",Data!$C:$G,4,FALSE)</f>
        <v>1.34375E-2</v>
      </c>
      <c r="O5" s="125">
        <f>VLOOKUP($B5&amp;"3",Data!$C:$G,5,FALSE)</f>
        <v>5.3</v>
      </c>
      <c r="P5" s="126">
        <f t="shared" si="10"/>
        <v>2.5353773584905659E-3</v>
      </c>
      <c r="R5" s="123">
        <f>VLOOKUP($B5&amp;"4",Data!$C:$G,2,FALSE)</f>
        <v>14</v>
      </c>
      <c r="S5" s="124">
        <f>VLOOKUP($B5&amp;"4",Data!$C:$G,4,FALSE)</f>
        <v>1.0127314814814815E-2</v>
      </c>
      <c r="T5" s="125">
        <f>VLOOKUP($B5&amp;"4",Data!$C:$G,5,FALSE)</f>
        <v>4.21</v>
      </c>
      <c r="U5" s="126">
        <f t="shared" si="11"/>
        <v>2.4055379607636138E-3</v>
      </c>
      <c r="W5" s="129">
        <f t="shared" si="12"/>
        <v>18.03</v>
      </c>
      <c r="X5" s="148">
        <f t="shared" si="13"/>
        <v>4.6018518518518514E-2</v>
      </c>
      <c r="Y5" s="126">
        <f t="shared" si="14"/>
        <v>2.552330478009901E-3</v>
      </c>
      <c r="AA5" s="166">
        <f t="shared" si="7"/>
        <v>2</v>
      </c>
      <c r="AB5" s="166">
        <f>VLOOKUP(B5,'Team Selection'!$J$15:$L$50,3,FALSE)</f>
        <v>3</v>
      </c>
    </row>
    <row r="6" spans="1:28" x14ac:dyDescent="0.2">
      <c r="A6" s="4"/>
      <c r="B6" s="151" t="str">
        <f>+'Team Selection'!D6</f>
        <v>Dave Munro</v>
      </c>
      <c r="C6" s="123">
        <f>VLOOKUP($B6&amp;"1",Data!$C:$G,2,FALSE)</f>
        <v>4</v>
      </c>
      <c r="D6" s="124">
        <f>VLOOKUP($B6&amp;"1",Data!$C:$G,4,FALSE)</f>
        <v>9.7106481481481471E-3</v>
      </c>
      <c r="E6" s="125">
        <f>VLOOKUP($B6&amp;"1",Data!$C:$G,5,FALSE)</f>
        <v>3.39</v>
      </c>
      <c r="F6" s="126">
        <f t="shared" si="8"/>
        <v>2.8644979788047631E-3</v>
      </c>
      <c r="H6" s="123">
        <f>VLOOKUP($B6&amp;"2",Data!$C:$G,2,FALSE)</f>
        <v>7</v>
      </c>
      <c r="I6" s="124">
        <f>VLOOKUP($B6&amp;"2",Data!$C:$G,4,FALSE)</f>
        <v>7.4074074074074068E-3</v>
      </c>
      <c r="J6" s="125">
        <f>VLOOKUP($B6&amp;"2",Data!$C:$G,5,FALSE)</f>
        <v>3.2</v>
      </c>
      <c r="K6" s="126">
        <f t="shared" si="9"/>
        <v>2.3148148148148147E-3</v>
      </c>
      <c r="M6" s="123">
        <f>VLOOKUP($B6&amp;"3",Data!$C:$G,2,FALSE)</f>
        <v>11</v>
      </c>
      <c r="N6" s="124">
        <f>VLOOKUP($B6&amp;"3",Data!$C:$G,4,FALSE)</f>
        <v>1.4641203703703703E-2</v>
      </c>
      <c r="O6" s="125">
        <f>VLOOKUP($B6&amp;"3",Data!$C:$G,5,FALSE)</f>
        <v>5.3</v>
      </c>
      <c r="P6" s="126">
        <f t="shared" si="10"/>
        <v>2.7624912648497556E-3</v>
      </c>
      <c r="R6" s="123">
        <f>VLOOKUP($B6&amp;"4",Data!$C:$G,2,FALSE)</f>
        <v>15</v>
      </c>
      <c r="S6" s="174">
        <f>VLOOKUP($B6&amp;"4",Data!$C:$G,4,FALSE)</f>
        <v>1.7361111111111112E-2</v>
      </c>
      <c r="T6" s="125">
        <f>VLOOKUP($B6&amp;"4",Data!$C:$G,5,FALSE)</f>
        <v>4.49</v>
      </c>
      <c r="U6" s="126">
        <f t="shared" si="11"/>
        <v>3.8666171739668398E-3</v>
      </c>
      <c r="W6" s="129">
        <f t="shared" si="12"/>
        <v>16.380000000000003</v>
      </c>
      <c r="X6" s="148">
        <f t="shared" si="13"/>
        <v>4.912037037037037E-2</v>
      </c>
      <c r="Y6" s="126">
        <f t="shared" si="14"/>
        <v>2.9988016099127203E-3</v>
      </c>
      <c r="AA6" s="166">
        <f t="shared" si="7"/>
        <v>9</v>
      </c>
      <c r="AB6" s="166">
        <f>VLOOKUP(B6,'Team Selection'!$J$15:$L$50,3,FALSE)</f>
        <v>4</v>
      </c>
    </row>
    <row r="7" spans="1:28" x14ac:dyDescent="0.2">
      <c r="A7" s="4"/>
      <c r="B7" s="151" t="str">
        <f>+'Team Selection'!D7</f>
        <v>David Alcock</v>
      </c>
      <c r="C7" s="123">
        <f>VLOOKUP($B7&amp;"1",Data!$C:$G,2,FALSE)</f>
        <v>4</v>
      </c>
      <c r="D7" s="124">
        <f>VLOOKUP($B7&amp;"1",Data!$C:$G,4,FALSE)</f>
        <v>8.9351851851851866E-3</v>
      </c>
      <c r="E7" s="125">
        <f>VLOOKUP($B7&amp;"1",Data!$C:$G,5,FALSE)</f>
        <v>3.39</v>
      </c>
      <c r="F7" s="126">
        <f t="shared" si="8"/>
        <v>2.6357478422375179E-3</v>
      </c>
      <c r="H7" s="123">
        <f>VLOOKUP($B7&amp;"2",Data!$C:$G,2,FALSE)</f>
        <v>8</v>
      </c>
      <c r="I7" s="124">
        <f>VLOOKUP($B7&amp;"2",Data!$C:$G,4,FALSE)</f>
        <v>1.667824074074074E-2</v>
      </c>
      <c r="J7" s="125">
        <f>VLOOKUP($B7&amp;"2",Data!$C:$G,5,FALSE)</f>
        <v>5.13</v>
      </c>
      <c r="K7" s="126">
        <f t="shared" si="9"/>
        <v>3.2511190527759726E-3</v>
      </c>
      <c r="M7" s="123">
        <f>VLOOKUP($B7&amp;"3",Data!$C:$G,2,FALSE)</f>
        <v>11</v>
      </c>
      <c r="N7" s="124">
        <f>VLOOKUP($B7&amp;"3",Data!$C:$G,4,FALSE)</f>
        <v>1.40625E-2</v>
      </c>
      <c r="O7" s="125">
        <f>VLOOKUP($B7&amp;"3",Data!$C:$G,5,FALSE)</f>
        <v>5.3</v>
      </c>
      <c r="P7" s="126">
        <f t="shared" si="10"/>
        <v>2.6533018867924531E-3</v>
      </c>
      <c r="R7" s="123">
        <f>VLOOKUP($B7&amp;"4",Data!$C:$G,2,FALSE)</f>
        <v>13</v>
      </c>
      <c r="S7" s="124">
        <f>VLOOKUP($B7&amp;"4",Data!$C:$G,4,FALSE)</f>
        <v>1.2418981481481482E-2</v>
      </c>
      <c r="T7" s="125">
        <f>VLOOKUP($B7&amp;"4",Data!$C:$G,5,FALSE)</f>
        <v>4.5</v>
      </c>
      <c r="U7" s="126">
        <f t="shared" si="11"/>
        <v>2.7597736625514404E-3</v>
      </c>
      <c r="W7" s="129">
        <f t="shared" si="12"/>
        <v>18.32</v>
      </c>
      <c r="X7" s="148">
        <f t="shared" si="13"/>
        <v>5.2094907407407409E-2</v>
      </c>
      <c r="Y7" s="126">
        <f t="shared" si="14"/>
        <v>2.8436084829370858E-3</v>
      </c>
      <c r="AA7" s="166">
        <f t="shared" si="7"/>
        <v>7</v>
      </c>
      <c r="AB7" s="166">
        <f>VLOOKUP(B7,'Team Selection'!$J$15:$L$50,3,FALSE)</f>
        <v>5</v>
      </c>
    </row>
    <row r="8" spans="1:28" x14ac:dyDescent="0.2">
      <c r="A8" s="4"/>
      <c r="B8" s="151" t="str">
        <f>+'Team Selection'!D8</f>
        <v>David Hartley</v>
      </c>
      <c r="C8" s="123">
        <f>VLOOKUP($B8&amp;"1",Data!$C:$G,2,FALSE)</f>
        <v>4</v>
      </c>
      <c r="D8" s="124">
        <f>VLOOKUP($B8&amp;"1",Data!$C:$G,4,FALSE)</f>
        <v>9.0972222222222218E-3</v>
      </c>
      <c r="E8" s="125">
        <f>VLOOKUP($B8&amp;"1",Data!$C:$G,5,FALSE)</f>
        <v>3.39</v>
      </c>
      <c r="F8" s="126">
        <f t="shared" si="8"/>
        <v>2.6835463782366436E-3</v>
      </c>
      <c r="H8" s="123">
        <f>VLOOKUP($B8&amp;"2",Data!$C:$G,2,FALSE)</f>
        <v>8</v>
      </c>
      <c r="I8" s="124">
        <f>VLOOKUP($B8&amp;"2",Data!$C:$G,4,FALSE)</f>
        <v>1.6608796296296299E-2</v>
      </c>
      <c r="J8" s="125">
        <f>VLOOKUP($B8&amp;"2",Data!$C:$G,5,FALSE)</f>
        <v>5.13</v>
      </c>
      <c r="K8" s="126">
        <f t="shared" si="9"/>
        <v>3.2375821240343662E-3</v>
      </c>
      <c r="M8" s="123">
        <f>VLOOKUP($B8&amp;"3",Data!$C:$G,2,FALSE)</f>
        <v>11</v>
      </c>
      <c r="N8" s="124">
        <f>VLOOKUP($B8&amp;"3",Data!$C:$G,4,FALSE)</f>
        <v>1.4212962962962962E-2</v>
      </c>
      <c r="O8" s="125">
        <f>VLOOKUP($B8&amp;"3",Data!$C:$G,5,FALSE)</f>
        <v>5.3</v>
      </c>
      <c r="P8" s="126">
        <f t="shared" si="10"/>
        <v>2.6816911250873514E-3</v>
      </c>
      <c r="R8" s="123">
        <f>VLOOKUP($B8&amp;"4",Data!$C:$G,2,FALSE)</f>
        <v>13</v>
      </c>
      <c r="S8" s="124">
        <f>VLOOKUP($B8&amp;"4",Data!$C:$G,4,FALSE)</f>
        <v>1.3344907407407408E-2</v>
      </c>
      <c r="T8" s="125">
        <f>VLOOKUP($B8&amp;"4",Data!$C:$G,5,FALSE)</f>
        <v>4.5</v>
      </c>
      <c r="U8" s="126">
        <f t="shared" si="11"/>
        <v>2.9655349794238685E-3</v>
      </c>
      <c r="W8" s="129">
        <f t="shared" si="12"/>
        <v>18.32</v>
      </c>
      <c r="X8" s="148">
        <f t="shared" si="13"/>
        <v>5.3263888888888895E-2</v>
      </c>
      <c r="Y8" s="126">
        <f t="shared" si="14"/>
        <v>2.9074175157690445E-3</v>
      </c>
      <c r="AA8" s="166">
        <f t="shared" si="7"/>
        <v>8</v>
      </c>
      <c r="AB8" s="166">
        <f>VLOOKUP(B8,'Team Selection'!$J$15:$L$50,3,FALSE)</f>
        <v>6</v>
      </c>
    </row>
    <row r="9" spans="1:28" x14ac:dyDescent="0.2">
      <c r="A9" s="4"/>
      <c r="B9" s="151" t="str">
        <f>+'Team Selection'!D9</f>
        <v>Simon Tu</v>
      </c>
      <c r="C9" s="123">
        <f>VLOOKUP($B9&amp;"1",Data!$C:$G,2,FALSE)</f>
        <v>4</v>
      </c>
      <c r="D9" s="124">
        <f>VLOOKUP($B9&amp;"1",Data!$C:$G,4,FALSE)</f>
        <v>8.8888888888888889E-3</v>
      </c>
      <c r="E9" s="125">
        <f>VLOOKUP($B9&amp;"1",Data!$C:$G,5,FALSE)</f>
        <v>3.39</v>
      </c>
      <c r="F9" s="126">
        <f t="shared" si="8"/>
        <v>2.6220911176663389E-3</v>
      </c>
      <c r="H9" s="123">
        <f>VLOOKUP($B9&amp;"2",Data!$C:$G,2,FALSE)</f>
        <v>8</v>
      </c>
      <c r="I9" s="124">
        <f>VLOOKUP($B9&amp;"2",Data!$C:$G,4,FALSE)</f>
        <v>1.4814814814814814E-2</v>
      </c>
      <c r="J9" s="125">
        <f>VLOOKUP($B9&amp;"2",Data!$C:$G,5,FALSE)</f>
        <v>5.13</v>
      </c>
      <c r="K9" s="126">
        <f t="shared" si="9"/>
        <v>2.8878781315428486E-3</v>
      </c>
      <c r="M9" s="123">
        <f>VLOOKUP($B9&amp;"3",Data!$C:$G,2,FALSE)</f>
        <v>11</v>
      </c>
      <c r="N9" s="124">
        <f>VLOOKUP($B9&amp;"3",Data!$C:$G,4,FALSE)</f>
        <v>1.4421296296296295E-2</v>
      </c>
      <c r="O9" s="125">
        <f>VLOOKUP($B9&amp;"3",Data!$C:$G,5,FALSE)</f>
        <v>5.3</v>
      </c>
      <c r="P9" s="126">
        <f t="shared" si="10"/>
        <v>2.7209993011879804E-3</v>
      </c>
      <c r="R9" s="123">
        <f>VLOOKUP($B9&amp;"4",Data!$C:$G,2,FALSE)</f>
        <v>13</v>
      </c>
      <c r="S9" s="124">
        <f>VLOOKUP($B9&amp;"4",Data!$C:$G,4,FALSE)</f>
        <v>1.2731481481481481E-2</v>
      </c>
      <c r="T9" s="125">
        <f>VLOOKUP($B9&amp;"4",Data!$C:$G,5,FALSE)</f>
        <v>4.5</v>
      </c>
      <c r="U9" s="126">
        <f t="shared" si="11"/>
        <v>2.8292181069958845E-3</v>
      </c>
      <c r="W9" s="129">
        <f t="shared" si="12"/>
        <v>18.32</v>
      </c>
      <c r="X9" s="148">
        <f t="shared" si="13"/>
        <v>5.0856481481481482E-2</v>
      </c>
      <c r="Y9" s="126">
        <f t="shared" si="14"/>
        <v>2.7760088144913471E-3</v>
      </c>
      <c r="AA9" s="166">
        <f t="shared" si="7"/>
        <v>6</v>
      </c>
      <c r="AB9" s="166">
        <f>VLOOKUP(B9,'Team Selection'!$J$15:$L$50,3,FALSE)</f>
        <v>7</v>
      </c>
    </row>
    <row r="10" spans="1:28" x14ac:dyDescent="0.2">
      <c r="A10" s="4"/>
      <c r="B10" s="151" t="str">
        <f>+'Team Selection'!D10</f>
        <v>Richard Does</v>
      </c>
      <c r="C10" s="123">
        <f>VLOOKUP($B10&amp;"1",Data!$C:$G,2,FALSE)</f>
        <v>4</v>
      </c>
      <c r="D10" s="124">
        <f>VLOOKUP($B10&amp;"1",Data!$C:$G,4,FALSE)</f>
        <v>8.9351851851851866E-3</v>
      </c>
      <c r="E10" s="125">
        <f>VLOOKUP($B10&amp;"1",Data!$C:$G,5,FALSE)</f>
        <v>3.39</v>
      </c>
      <c r="F10" s="126">
        <f t="shared" si="8"/>
        <v>2.6357478422375179E-3</v>
      </c>
      <c r="H10" s="123">
        <f>VLOOKUP($B10&amp;"2",Data!$C:$G,2,FALSE)</f>
        <v>8</v>
      </c>
      <c r="I10" s="124">
        <f>VLOOKUP($B10&amp;"2",Data!$C:$G,4,FALSE)</f>
        <v>1.4618055555555556E-2</v>
      </c>
      <c r="J10" s="125">
        <f>VLOOKUP($B10&amp;"2",Data!$C:$G,5,FALSE)</f>
        <v>5.13</v>
      </c>
      <c r="K10" s="126">
        <f t="shared" si="9"/>
        <v>2.8495235001082956E-3</v>
      </c>
      <c r="M10" s="123">
        <f>VLOOKUP($B10&amp;"3",Data!$C:$G,2,FALSE)</f>
        <v>11</v>
      </c>
      <c r="N10" s="124">
        <f>VLOOKUP($B10&amp;"3",Data!$C:$G,4,FALSE)</f>
        <v>1.4583333333333332E-2</v>
      </c>
      <c r="O10" s="125">
        <f>VLOOKUP($B10&amp;"3",Data!$C:$G,5,FALSE)</f>
        <v>5.3</v>
      </c>
      <c r="P10" s="126">
        <f t="shared" si="10"/>
        <v>2.751572327044025E-3</v>
      </c>
      <c r="R10" s="123">
        <f>VLOOKUP($B10&amp;"4",Data!$C:$G,2,FALSE)</f>
        <v>13</v>
      </c>
      <c r="S10" s="124">
        <f>VLOOKUP($B10&amp;"4",Data!$C:$G,4,FALSE)</f>
        <v>1.2615740740740742E-2</v>
      </c>
      <c r="T10" s="125">
        <f>VLOOKUP($B10&amp;"4",Data!$C:$G,5,FALSE)</f>
        <v>4.5</v>
      </c>
      <c r="U10" s="126">
        <f t="shared" si="11"/>
        <v>2.8034979423868316E-3</v>
      </c>
      <c r="W10" s="129">
        <f t="shared" si="12"/>
        <v>18.32</v>
      </c>
      <c r="X10" s="148">
        <f t="shared" si="13"/>
        <v>5.0752314814814813E-2</v>
      </c>
      <c r="Y10" s="126">
        <f t="shared" si="14"/>
        <v>2.7703228610706774E-3</v>
      </c>
      <c r="AA10" s="166">
        <f t="shared" si="7"/>
        <v>5</v>
      </c>
      <c r="AB10" s="166">
        <f>VLOOKUP(B10,'Team Selection'!$J$15:$L$50,3,FALSE)</f>
        <v>8</v>
      </c>
    </row>
    <row r="11" spans="1:28" x14ac:dyDescent="0.2">
      <c r="A11" s="4"/>
      <c r="B11" s="151" t="str">
        <f>+'Team Selection'!D11</f>
        <v>Rob Dalton</v>
      </c>
      <c r="C11" s="157">
        <f>VLOOKUP($B11&amp;"1",Data!$C:$G,2,FALSE)</f>
        <v>4</v>
      </c>
      <c r="D11" s="158">
        <f>VLOOKUP($B11&amp;"1",Data!$C:$G,4,FALSE)</f>
        <v>8.9351851851851866E-3</v>
      </c>
      <c r="E11" s="159">
        <f>VLOOKUP($B11&amp;"1",Data!$C:$G,5,FALSE)</f>
        <v>3.39</v>
      </c>
      <c r="F11" s="160">
        <f t="shared" si="8"/>
        <v>2.6357478422375179E-3</v>
      </c>
      <c r="H11" s="157">
        <f>VLOOKUP($B11&amp;"2",Data!$C:$G,2,FALSE)</f>
        <v>8</v>
      </c>
      <c r="I11" s="158">
        <f>VLOOKUP($B11&amp;"2",Data!$C:$G,4,FALSE)</f>
        <v>1.4409722222222221E-2</v>
      </c>
      <c r="J11" s="159">
        <f>VLOOKUP($B11&amp;"2",Data!$C:$G,5,FALSE)</f>
        <v>5.13</v>
      </c>
      <c r="K11" s="160">
        <f t="shared" si="9"/>
        <v>2.8089127138834738E-3</v>
      </c>
      <c r="M11" s="157">
        <f>VLOOKUP($B11&amp;"3",Data!$C:$G,2,FALSE)</f>
        <v>11</v>
      </c>
      <c r="N11" s="158">
        <f>VLOOKUP($B11&amp;"3",Data!$C:$G,4,FALSE)</f>
        <v>1.4583333333333332E-2</v>
      </c>
      <c r="O11" s="159">
        <f>VLOOKUP($B11&amp;"3",Data!$C:$G,5,FALSE)</f>
        <v>5.3</v>
      </c>
      <c r="P11" s="160">
        <f t="shared" si="10"/>
        <v>2.751572327044025E-3</v>
      </c>
      <c r="R11" s="157">
        <f>VLOOKUP($B11&amp;"4",Data!$C:$G,2,FALSE)</f>
        <v>15</v>
      </c>
      <c r="S11" s="158">
        <f>VLOOKUP($B11&amp;"4",Data!$C:$G,4,FALSE)</f>
        <v>1.0636574074074074E-2</v>
      </c>
      <c r="T11" s="159">
        <f>VLOOKUP($B11&amp;"4",Data!$C:$G,5,FALSE)</f>
        <v>4.49</v>
      </c>
      <c r="U11" s="160">
        <f t="shared" si="11"/>
        <v>2.3689474552503506E-3</v>
      </c>
      <c r="W11" s="161">
        <f t="shared" si="12"/>
        <v>18.310000000000002</v>
      </c>
      <c r="X11" s="162">
        <f t="shared" si="13"/>
        <v>4.8564814814814818E-2</v>
      </c>
      <c r="Y11" s="160">
        <f t="shared" si="14"/>
        <v>2.6523656370734468E-3</v>
      </c>
      <c r="AA11" s="166">
        <f t="shared" si="7"/>
        <v>4</v>
      </c>
      <c r="AB11" s="166">
        <f>VLOOKUP(B11,'Team Selection'!$J$15:$L$50,3,FALSE)</f>
        <v>9</v>
      </c>
    </row>
    <row r="12" spans="1:28" s="6" customFormat="1" x14ac:dyDescent="0.2">
      <c r="A12" s="5"/>
      <c r="C12" s="5"/>
      <c r="D12" s="10"/>
      <c r="E12" s="11"/>
      <c r="F12" s="10"/>
      <c r="H12" s="5"/>
      <c r="I12" s="10"/>
      <c r="J12" s="11"/>
      <c r="K12" s="10"/>
      <c r="M12" s="5"/>
      <c r="N12" s="10"/>
      <c r="O12" s="11"/>
      <c r="P12" s="10"/>
      <c r="R12" s="5"/>
      <c r="S12" s="10"/>
      <c r="T12" s="11"/>
      <c r="U12" s="10"/>
      <c r="W12" s="11"/>
      <c r="X12" s="10"/>
      <c r="Y12" s="10"/>
    </row>
    <row r="13" spans="1:28" s="6" customFormat="1" x14ac:dyDescent="0.2">
      <c r="A13" s="5"/>
      <c r="C13" s="5"/>
      <c r="D13" s="10"/>
      <c r="E13" s="11"/>
      <c r="F13" s="10"/>
      <c r="H13" s="5"/>
      <c r="I13" s="10"/>
      <c r="J13" s="11"/>
      <c r="K13" s="10"/>
      <c r="M13" s="5"/>
      <c r="N13" s="10"/>
      <c r="O13" s="11"/>
      <c r="P13" s="10"/>
      <c r="R13" s="5"/>
      <c r="S13" s="10"/>
      <c r="T13" s="11"/>
      <c r="U13" s="10"/>
      <c r="W13" s="24" t="s">
        <v>39</v>
      </c>
      <c r="X13" s="23" t="s">
        <v>39</v>
      </c>
      <c r="Y13" s="23" t="s">
        <v>40</v>
      </c>
    </row>
    <row r="14" spans="1:28" x14ac:dyDescent="0.2">
      <c r="B14" s="154" t="s">
        <v>29</v>
      </c>
      <c r="C14" s="150" t="s">
        <v>11</v>
      </c>
      <c r="D14" s="15" t="s">
        <v>7</v>
      </c>
      <c r="E14" s="17" t="s">
        <v>32</v>
      </c>
      <c r="F14" s="15" t="s">
        <v>8</v>
      </c>
      <c r="H14" s="9" t="s">
        <v>11</v>
      </c>
      <c r="I14" s="15" t="s">
        <v>7</v>
      </c>
      <c r="J14" s="17" t="s">
        <v>32</v>
      </c>
      <c r="K14" s="15" t="s">
        <v>8</v>
      </c>
      <c r="M14" s="9" t="s">
        <v>11</v>
      </c>
      <c r="N14" s="15" t="s">
        <v>7</v>
      </c>
      <c r="O14" s="17" t="s">
        <v>32</v>
      </c>
      <c r="P14" s="15" t="s">
        <v>8</v>
      </c>
      <c r="R14" s="9" t="s">
        <v>11</v>
      </c>
      <c r="S14" s="15" t="s">
        <v>7</v>
      </c>
      <c r="T14" s="17" t="s">
        <v>32</v>
      </c>
      <c r="U14" s="15" t="s">
        <v>8</v>
      </c>
      <c r="W14" s="20" t="s">
        <v>38</v>
      </c>
      <c r="X14" s="128" t="s">
        <v>7</v>
      </c>
      <c r="Y14" s="19" t="s">
        <v>8</v>
      </c>
      <c r="AA14" s="9" t="s">
        <v>10</v>
      </c>
      <c r="AB14" s="9" t="s">
        <v>95</v>
      </c>
    </row>
    <row r="15" spans="1:28" x14ac:dyDescent="0.2">
      <c r="A15" s="4"/>
      <c r="B15" s="152" t="str">
        <f>+'Team Selection'!F3</f>
        <v>Katie Seibold</v>
      </c>
      <c r="C15" s="123">
        <f>VLOOKUP($B15&amp;"1",Data!$C:$G,2,FALSE)</f>
        <v>2</v>
      </c>
      <c r="D15" s="124">
        <f>VLOOKUP($B15&amp;"1",Data!$C:$G,4,FALSE)</f>
        <v>1.005787037037037E-2</v>
      </c>
      <c r="E15" s="125">
        <f>VLOOKUP($B15&amp;"1",Data!$C:$G,5,FALSE)</f>
        <v>3.39</v>
      </c>
      <c r="F15" s="126">
        <f t="shared" ref="F15" si="15">+D15/E15</f>
        <v>2.9669234130886043E-3</v>
      </c>
      <c r="H15" s="123">
        <f>VLOOKUP($B15&amp;"2",Data!$C:$G,2,FALSE)</f>
        <v>6</v>
      </c>
      <c r="I15" s="124">
        <f>VLOOKUP($B15&amp;"2",Data!$C:$G,4,FALSE)</f>
        <v>1.1331018518518518E-2</v>
      </c>
      <c r="J15" s="125">
        <f>VLOOKUP($B15&amp;"2",Data!$C:$G,5,FALSE)</f>
        <v>4.2699999999999996</v>
      </c>
      <c r="K15" s="126">
        <f t="shared" ref="K15" si="16">+I15/J15</f>
        <v>2.6536343134703792E-3</v>
      </c>
      <c r="M15" s="123">
        <f>VLOOKUP($B15&amp;"3",Data!$C:$G,2,FALSE)</f>
        <v>12</v>
      </c>
      <c r="N15" s="124">
        <f>VLOOKUP($B15&amp;"3",Data!$C:$G,4,FALSE)</f>
        <v>1.2210648148148146E-2</v>
      </c>
      <c r="O15" s="125">
        <f>VLOOKUP($B15&amp;"3",Data!$C:$G,5,FALSE)</f>
        <v>4.5</v>
      </c>
      <c r="P15" s="126">
        <f t="shared" ref="P15" si="17">+N15/O15</f>
        <v>2.7134773662551436E-3</v>
      </c>
      <c r="R15" s="123">
        <f>VLOOKUP($B15&amp;"4",Data!$C:$G,2,FALSE)</f>
        <v>14</v>
      </c>
      <c r="S15" s="124">
        <f>VLOOKUP($B15&amp;"4",Data!$C:$G,4,FALSE)</f>
        <v>1.1342592592592592E-2</v>
      </c>
      <c r="T15" s="125">
        <f>VLOOKUP($B15&amp;"4",Data!$C:$G,5,FALSE)</f>
        <v>4.21</v>
      </c>
      <c r="U15" s="126">
        <f t="shared" ref="U15" si="18">+S15/T15</f>
        <v>2.6942025160552473E-3</v>
      </c>
      <c r="W15" s="129">
        <f t="shared" ref="W15" si="19">SUM(E15,J15,O15,T15)</f>
        <v>16.37</v>
      </c>
      <c r="X15" s="148">
        <f t="shared" ref="X15" si="20">SUM(D15,I15,N15,S15)</f>
        <v>4.4942129629629624E-2</v>
      </c>
      <c r="Y15" s="126">
        <f t="shared" ref="Y15" si="21">SUM(D15,I15,N15,S15)/W15</f>
        <v>2.7453958234349186E-3</v>
      </c>
      <c r="AA15" s="9">
        <f t="shared" ref="AA15:AA23" si="22">RANK(Y15,Y$15:Y$23,1)</f>
        <v>7</v>
      </c>
      <c r="AB15" s="9">
        <f>VLOOKUP(B15,'Team Selection'!$J$15:$L$50,3,FALSE)</f>
        <v>18</v>
      </c>
    </row>
    <row r="16" spans="1:28" x14ac:dyDescent="0.2">
      <c r="A16" s="4"/>
      <c r="B16" s="152" t="str">
        <f>+'Team Selection'!F4</f>
        <v>Clem Scott</v>
      </c>
      <c r="C16" s="123">
        <f>VLOOKUP($B16&amp;"1",Data!$C:$G,2,FALSE)</f>
        <v>1</v>
      </c>
      <c r="D16" s="124">
        <f>VLOOKUP($B16&amp;"1",Data!$C:$G,4,FALSE)</f>
        <v>8.9120370370370378E-3</v>
      </c>
      <c r="E16" s="125">
        <f>VLOOKUP($B16&amp;"1",Data!$C:$G,5,FALSE)</f>
        <v>3.39</v>
      </c>
      <c r="F16" s="126">
        <f t="shared" ref="F16:F23" si="23">+D16/E16</f>
        <v>2.6289194799519284E-3</v>
      </c>
      <c r="H16" s="123">
        <f>VLOOKUP($B16&amp;"2",Data!$C:$G,2,FALSE)</f>
        <v>5</v>
      </c>
      <c r="I16" s="124">
        <f>VLOOKUP($B16&amp;"2",Data!$C:$G,4,FALSE)</f>
        <v>1.1412037037037038E-2</v>
      </c>
      <c r="J16" s="125">
        <f>VLOOKUP($B16&amp;"2",Data!$C:$G,5,FALSE)</f>
        <v>4</v>
      </c>
      <c r="K16" s="126">
        <f t="shared" ref="K16:K23" si="24">+I16/J16</f>
        <v>2.8530092592592596E-3</v>
      </c>
      <c r="M16" s="123">
        <f>VLOOKUP($B16&amp;"3",Data!$C:$G,2,FALSE)</f>
        <v>10</v>
      </c>
      <c r="N16" s="124">
        <f>VLOOKUP($B16&amp;"3",Data!$C:$G,4,FALSE)</f>
        <v>1.042824074074074E-2</v>
      </c>
      <c r="O16" s="125">
        <f>VLOOKUP($B16&amp;"3",Data!$C:$G,5,FALSE)</f>
        <v>3.7</v>
      </c>
      <c r="P16" s="126">
        <f t="shared" ref="P16:P23" si="25">+N16/O16</f>
        <v>2.8184434434434429E-3</v>
      </c>
      <c r="R16" s="123">
        <f>VLOOKUP($B16&amp;"4",Data!$C:$G,2,FALSE)</f>
        <v>13</v>
      </c>
      <c r="S16" s="124">
        <f>VLOOKUP($B16&amp;"4",Data!$C:$G,4,FALSE)</f>
        <v>1.2743055555555556E-2</v>
      </c>
      <c r="T16" s="125">
        <f>VLOOKUP($B16&amp;"4",Data!$C:$G,5,FALSE)</f>
        <v>4.5</v>
      </c>
      <c r="U16" s="126">
        <f t="shared" ref="U16:U23" si="26">+S16/T16</f>
        <v>2.8317901234567902E-3</v>
      </c>
      <c r="W16" s="129">
        <f t="shared" ref="W16:W23" si="27">SUM(E16,J16,O16,T16)</f>
        <v>15.59</v>
      </c>
      <c r="X16" s="148">
        <f t="shared" ref="X16:X23" si="28">SUM(D16,I16,N16,S16)</f>
        <v>4.3495370370370372E-2</v>
      </c>
      <c r="Y16" s="126">
        <f t="shared" ref="Y16:Y23" si="29">SUM(D16,I16,N16,S16)/W16</f>
        <v>2.7899531988691707E-3</v>
      </c>
      <c r="AA16" s="166">
        <f t="shared" si="22"/>
        <v>8</v>
      </c>
      <c r="AB16" s="166">
        <f>VLOOKUP(B16,'Team Selection'!$J$15:$L$50,3,FALSE)</f>
        <v>16</v>
      </c>
    </row>
    <row r="17" spans="1:28" x14ac:dyDescent="0.2">
      <c r="A17" s="4"/>
      <c r="B17" s="152" t="str">
        <f>+'Team Selection'!F5</f>
        <v>Shane Fielding</v>
      </c>
      <c r="C17" s="123">
        <f>VLOOKUP($B17&amp;"1",Data!$C:$G,2,FALSE)</f>
        <v>1</v>
      </c>
      <c r="D17" s="124">
        <f>VLOOKUP($B17&amp;"1",Data!$C:$G,4,FALSE)</f>
        <v>9.1435185185185178E-3</v>
      </c>
      <c r="E17" s="125">
        <f>VLOOKUP($B17&amp;"1",Data!$C:$G,5,FALSE)</f>
        <v>3.39</v>
      </c>
      <c r="F17" s="126">
        <f t="shared" si="23"/>
        <v>2.6972031028078222E-3</v>
      </c>
      <c r="H17" s="123">
        <f>VLOOKUP($B17&amp;"2",Data!$C:$G,2,FALSE)</f>
        <v>5</v>
      </c>
      <c r="I17" s="124">
        <f>VLOOKUP($B17&amp;"2",Data!$C:$G,4,FALSE)</f>
        <v>1.1944444444444445E-2</v>
      </c>
      <c r="J17" s="125">
        <f>VLOOKUP($B17&amp;"2",Data!$C:$G,5,FALSE)</f>
        <v>4</v>
      </c>
      <c r="K17" s="126">
        <f t="shared" si="24"/>
        <v>2.9861111111111113E-3</v>
      </c>
      <c r="M17" s="123">
        <f>VLOOKUP($B17&amp;"3",Data!$C:$G,2,FALSE)</f>
        <v>12</v>
      </c>
      <c r="N17" s="124">
        <f>VLOOKUP($B17&amp;"3",Data!$C:$G,4,FALSE)</f>
        <v>1.1377314814814814E-2</v>
      </c>
      <c r="O17" s="125">
        <f>VLOOKUP($B17&amp;"3",Data!$C:$G,5,FALSE)</f>
        <v>4.5</v>
      </c>
      <c r="P17" s="126">
        <f t="shared" si="25"/>
        <v>2.5282921810699586E-3</v>
      </c>
      <c r="R17" s="123">
        <f>VLOOKUP($B17&amp;"4",Data!$C:$G,2,FALSE)</f>
        <v>15</v>
      </c>
      <c r="S17" s="124">
        <f>VLOOKUP($B17&amp;"4",Data!$C:$G,4,FALSE)</f>
        <v>1.0567129629629629E-2</v>
      </c>
      <c r="T17" s="125">
        <f>VLOOKUP($B17&amp;"4",Data!$C:$G,5,FALSE)</f>
        <v>4.49</v>
      </c>
      <c r="U17" s="126">
        <f t="shared" si="26"/>
        <v>2.3534809865544829E-3</v>
      </c>
      <c r="W17" s="129">
        <f t="shared" si="27"/>
        <v>16.380000000000003</v>
      </c>
      <c r="X17" s="148">
        <f t="shared" si="28"/>
        <v>4.3032407407407401E-2</v>
      </c>
      <c r="Y17" s="126">
        <f t="shared" si="29"/>
        <v>2.6271310993533207E-3</v>
      </c>
      <c r="AA17" s="166">
        <f t="shared" si="22"/>
        <v>5</v>
      </c>
      <c r="AB17" s="166">
        <f>VLOOKUP(B17,'Team Selection'!$J$15:$L$50,3,FALSE)</f>
        <v>17</v>
      </c>
    </row>
    <row r="18" spans="1:28" x14ac:dyDescent="0.2">
      <c r="A18" s="4"/>
      <c r="B18" s="152" t="str">
        <f>+'Team Selection'!F6</f>
        <v>Stephen Paine</v>
      </c>
      <c r="C18" s="123">
        <f>VLOOKUP($B18&amp;"1",Data!$C:$G,2,FALSE)</f>
        <v>1</v>
      </c>
      <c r="D18" s="124">
        <f>VLOOKUP($B18&amp;"1",Data!$C:$G,4,FALSE)</f>
        <v>8.9814814814814809E-3</v>
      </c>
      <c r="E18" s="125">
        <f>VLOOKUP($B18&amp;"1",Data!$C:$G,5,FALSE)</f>
        <v>3.39</v>
      </c>
      <c r="F18" s="126">
        <f t="shared" si="23"/>
        <v>2.6494045668086965E-3</v>
      </c>
      <c r="H18" s="123">
        <f>VLOOKUP($B18&amp;"2",Data!$C:$G,2,FALSE)</f>
        <v>5</v>
      </c>
      <c r="I18" s="124">
        <f>VLOOKUP($B18&amp;"2",Data!$C:$G,4,FALSE)</f>
        <v>1.1736111111111109E-2</v>
      </c>
      <c r="J18" s="125">
        <f>VLOOKUP($B18&amp;"2",Data!$C:$G,5,FALSE)</f>
        <v>4</v>
      </c>
      <c r="K18" s="126">
        <f t="shared" si="24"/>
        <v>2.9340277777777772E-3</v>
      </c>
      <c r="M18" s="123">
        <f>VLOOKUP($B18&amp;"3",Data!$C:$G,2,FALSE)</f>
        <v>9</v>
      </c>
      <c r="N18" s="124">
        <f>VLOOKUP($B18&amp;"3",Data!$C:$G,4,FALSE)</f>
        <v>1.0972222222222223E-2</v>
      </c>
      <c r="O18" s="125">
        <f>VLOOKUP($B18&amp;"3",Data!$C:$G,5,FALSE)</f>
        <v>3.66</v>
      </c>
      <c r="P18" s="126">
        <f t="shared" si="25"/>
        <v>2.9978749241044325E-3</v>
      </c>
      <c r="R18" s="123">
        <f>VLOOKUP($B18&amp;"4",Data!$C:$G,2,FALSE)</f>
        <v>13</v>
      </c>
      <c r="S18" s="174">
        <f>VLOOKUP($B18&amp;"4",Data!$C:$G,4,FALSE)</f>
        <v>1.7361111111111112E-2</v>
      </c>
      <c r="T18" s="125">
        <f>VLOOKUP($B18&amp;"4",Data!$C:$G,5,FALSE)</f>
        <v>4.5</v>
      </c>
      <c r="U18" s="126">
        <f t="shared" si="26"/>
        <v>3.8580246913580249E-3</v>
      </c>
      <c r="W18" s="129">
        <f t="shared" si="27"/>
        <v>15.55</v>
      </c>
      <c r="X18" s="148">
        <f t="shared" si="28"/>
        <v>4.9050925925925921E-2</v>
      </c>
      <c r="Y18" s="126">
        <f t="shared" si="29"/>
        <v>3.1544003810884836E-3</v>
      </c>
      <c r="AA18" s="166">
        <f t="shared" si="22"/>
        <v>9</v>
      </c>
      <c r="AB18" s="166">
        <f>VLOOKUP(B18,'Team Selection'!$J$15:$L$50,3,FALSE)</f>
        <v>15</v>
      </c>
    </row>
    <row r="19" spans="1:28" x14ac:dyDescent="0.2">
      <c r="A19" s="4"/>
      <c r="B19" s="152" t="str">
        <f>+'Team Selection'!F7</f>
        <v>Peter Larsen</v>
      </c>
      <c r="C19" s="123">
        <f>VLOOKUP($B19&amp;"1",Data!$C:$G,2,FALSE)</f>
        <v>1</v>
      </c>
      <c r="D19" s="124">
        <f>VLOOKUP($B19&amp;"1",Data!$C:$G,4,FALSE)</f>
        <v>9.0393518518518522E-3</v>
      </c>
      <c r="E19" s="125">
        <f>VLOOKUP($B19&amp;"1",Data!$C:$G,5,FALSE)</f>
        <v>3.39</v>
      </c>
      <c r="F19" s="126">
        <f t="shared" si="23"/>
        <v>2.66647547252267E-3</v>
      </c>
      <c r="H19" s="123">
        <f>VLOOKUP($B19&amp;"2",Data!$C:$G,2,FALSE)</f>
        <v>5</v>
      </c>
      <c r="I19" s="124">
        <f>VLOOKUP($B19&amp;"2",Data!$C:$G,4,FALSE)</f>
        <v>1.1967592592592592E-2</v>
      </c>
      <c r="J19" s="125">
        <f>VLOOKUP($B19&amp;"2",Data!$C:$G,5,FALSE)</f>
        <v>4</v>
      </c>
      <c r="K19" s="126">
        <f t="shared" si="24"/>
        <v>2.991898148148148E-3</v>
      </c>
      <c r="M19" s="123">
        <f>VLOOKUP($B19&amp;"3",Data!$C:$G,2,FALSE)</f>
        <v>12</v>
      </c>
      <c r="N19" s="124">
        <f>VLOOKUP($B19&amp;"3",Data!$C:$G,4,FALSE)</f>
        <v>1.1469907407407408E-2</v>
      </c>
      <c r="O19" s="125">
        <f>VLOOKUP($B19&amp;"3",Data!$C:$G,5,FALSE)</f>
        <v>4.5</v>
      </c>
      <c r="P19" s="126">
        <f t="shared" si="25"/>
        <v>2.5488683127572018E-3</v>
      </c>
      <c r="R19" s="123">
        <f>VLOOKUP($B19&amp;"4",Data!$C:$G,2,FALSE)</f>
        <v>15</v>
      </c>
      <c r="S19" s="124">
        <f>VLOOKUP($B19&amp;"4",Data!$C:$G,4,FALSE)</f>
        <v>1.0972222222222223E-2</v>
      </c>
      <c r="T19" s="125">
        <f>VLOOKUP($B19&amp;"4",Data!$C:$G,5,FALSE)</f>
        <v>4.49</v>
      </c>
      <c r="U19" s="126">
        <f t="shared" si="26"/>
        <v>2.4437020539470429E-3</v>
      </c>
      <c r="W19" s="129">
        <f t="shared" si="27"/>
        <v>16.380000000000003</v>
      </c>
      <c r="X19" s="148">
        <f t="shared" si="28"/>
        <v>4.3449074074074077E-2</v>
      </c>
      <c r="Y19" s="126">
        <f t="shared" si="29"/>
        <v>2.6525686247908468E-3</v>
      </c>
      <c r="AA19" s="166">
        <f t="shared" si="22"/>
        <v>6</v>
      </c>
      <c r="AB19" s="166">
        <f>VLOOKUP(B19,'Team Selection'!$J$15:$L$50,3,FALSE)</f>
        <v>11</v>
      </c>
    </row>
    <row r="20" spans="1:28" x14ac:dyDescent="0.2">
      <c r="A20" s="4"/>
      <c r="B20" s="152" t="str">
        <f>+'Team Selection'!F8</f>
        <v>Anthony Mithen</v>
      </c>
      <c r="C20" s="123">
        <f>VLOOKUP($B20&amp;"1",Data!$C:$G,2,FALSE)</f>
        <v>2</v>
      </c>
      <c r="D20" s="124">
        <f>VLOOKUP($B20&amp;"1",Data!$C:$G,4,FALSE)</f>
        <v>9.0740740740740729E-3</v>
      </c>
      <c r="E20" s="125">
        <f>VLOOKUP($B20&amp;"1",Data!$C:$G,5,FALSE)</f>
        <v>3.39</v>
      </c>
      <c r="F20" s="126">
        <f t="shared" si="23"/>
        <v>2.6767180159510537E-3</v>
      </c>
      <c r="H20" s="123">
        <f>VLOOKUP($B20&amp;"2",Data!$C:$G,2,FALSE)</f>
        <v>6</v>
      </c>
      <c r="I20" s="124">
        <f>VLOOKUP($B20&amp;"2",Data!$C:$G,4,FALSE)</f>
        <v>1.0833333333333334E-2</v>
      </c>
      <c r="J20" s="125">
        <f>VLOOKUP($B20&amp;"2",Data!$C:$G,5,FALSE)</f>
        <v>4.2699999999999996</v>
      </c>
      <c r="K20" s="126">
        <f t="shared" si="24"/>
        <v>2.5370804059328652E-3</v>
      </c>
      <c r="M20" s="123">
        <f>VLOOKUP($B20&amp;"3",Data!$C:$G,2,FALSE)</f>
        <v>12</v>
      </c>
      <c r="N20" s="124">
        <f>VLOOKUP($B20&amp;"3",Data!$C:$G,4,FALSE)</f>
        <v>1.1782407407407406E-2</v>
      </c>
      <c r="O20" s="125">
        <f>VLOOKUP($B20&amp;"3",Data!$C:$G,5,FALSE)</f>
        <v>4.5</v>
      </c>
      <c r="P20" s="126">
        <f t="shared" si="25"/>
        <v>2.6183127572016458E-3</v>
      </c>
      <c r="R20" s="123">
        <f>VLOOKUP($B20&amp;"4",Data!$C:$G,2,FALSE)</f>
        <v>15</v>
      </c>
      <c r="S20" s="124">
        <f>VLOOKUP($B20&amp;"4",Data!$C:$G,4,FALSE)</f>
        <v>1.119212962962963E-2</v>
      </c>
      <c r="T20" s="125">
        <f>VLOOKUP($B20&amp;"4",Data!$C:$G,5,FALSE)</f>
        <v>4.49</v>
      </c>
      <c r="U20" s="126">
        <f t="shared" si="26"/>
        <v>2.4926792048172892E-3</v>
      </c>
      <c r="W20" s="129">
        <f t="shared" si="27"/>
        <v>16.649999999999999</v>
      </c>
      <c r="X20" s="148">
        <f t="shared" si="28"/>
        <v>4.2881944444444445E-2</v>
      </c>
      <c r="Y20" s="126">
        <f t="shared" si="29"/>
        <v>2.5754921588254922E-3</v>
      </c>
      <c r="AA20" s="166">
        <f t="shared" si="22"/>
        <v>3</v>
      </c>
      <c r="AB20" s="166">
        <f>VLOOKUP(B20,'Team Selection'!$J$15:$L$50,3,FALSE)</f>
        <v>14</v>
      </c>
    </row>
    <row r="21" spans="1:28" x14ac:dyDescent="0.2">
      <c r="A21" s="4"/>
      <c r="B21" s="152" t="str">
        <f>+'Team Selection'!F9</f>
        <v>Bruce Arthur</v>
      </c>
      <c r="C21" s="123">
        <f>VLOOKUP($B21&amp;"1",Data!$C:$G,2,FALSE)</f>
        <v>2</v>
      </c>
      <c r="D21" s="124">
        <f>VLOOKUP($B21&amp;"1",Data!$C:$G,4,FALSE)</f>
        <v>9.0972222222222218E-3</v>
      </c>
      <c r="E21" s="125">
        <f>VLOOKUP($B21&amp;"1",Data!$C:$G,5,FALSE)</f>
        <v>3.39</v>
      </c>
      <c r="F21" s="126">
        <f t="shared" si="23"/>
        <v>2.6835463782366436E-3</v>
      </c>
      <c r="H21" s="123">
        <f>VLOOKUP($B21&amp;"2",Data!$C:$G,2,FALSE)</f>
        <v>6</v>
      </c>
      <c r="I21" s="124">
        <f>VLOOKUP($B21&amp;"2",Data!$C:$G,4,FALSE)</f>
        <v>1.0462962962962964E-2</v>
      </c>
      <c r="J21" s="125">
        <f>VLOOKUP($B21&amp;"2",Data!$C:$G,5,FALSE)</f>
        <v>4.2699999999999996</v>
      </c>
      <c r="K21" s="126">
        <f t="shared" si="24"/>
        <v>2.450342614277041E-3</v>
      </c>
      <c r="M21" s="123">
        <f>VLOOKUP($B21&amp;"3",Data!$C:$G,2,FALSE)</f>
        <v>12</v>
      </c>
      <c r="N21" s="124">
        <f>VLOOKUP($B21&amp;"3",Data!$C:$G,4,FALSE)</f>
        <v>1.1504629629629629E-2</v>
      </c>
      <c r="O21" s="125">
        <f>VLOOKUP($B21&amp;"3",Data!$C:$G,5,FALSE)</f>
        <v>4.5</v>
      </c>
      <c r="P21" s="126">
        <f t="shared" si="25"/>
        <v>2.5565843621399176E-3</v>
      </c>
      <c r="R21" s="123">
        <f>VLOOKUP($B21&amp;"4",Data!$C:$G,2,FALSE)</f>
        <v>15</v>
      </c>
      <c r="S21" s="124">
        <f>VLOOKUP($B21&amp;"4",Data!$C:$G,4,FALSE)</f>
        <v>1.0277777777777778E-2</v>
      </c>
      <c r="T21" s="125">
        <f>VLOOKUP($B21&amp;"4",Data!$C:$G,5,FALSE)</f>
        <v>4.49</v>
      </c>
      <c r="U21" s="126">
        <f t="shared" si="26"/>
        <v>2.2890373669883692E-3</v>
      </c>
      <c r="W21" s="129">
        <f t="shared" si="27"/>
        <v>16.649999999999999</v>
      </c>
      <c r="X21" s="148">
        <f t="shared" si="28"/>
        <v>4.1342592592592597E-2</v>
      </c>
      <c r="Y21" s="126">
        <f t="shared" si="29"/>
        <v>2.4830385941497059E-3</v>
      </c>
      <c r="AA21" s="166">
        <f t="shared" si="22"/>
        <v>1</v>
      </c>
      <c r="AB21" s="166">
        <f>VLOOKUP(B21,'Team Selection'!$J$15:$L$50,3,FALSE)</f>
        <v>12</v>
      </c>
    </row>
    <row r="22" spans="1:28" x14ac:dyDescent="0.2">
      <c r="A22" s="4"/>
      <c r="B22" s="152" t="str">
        <f>+'Team Selection'!F10</f>
        <v>Alex Kimp</v>
      </c>
      <c r="C22" s="123">
        <f>VLOOKUP($B22&amp;"1",Data!$C:$G,2,FALSE)</f>
        <v>1</v>
      </c>
      <c r="D22" s="124">
        <f>VLOOKUP($B22&amp;"1",Data!$C:$G,4,FALSE)</f>
        <v>9.1319444444444443E-3</v>
      </c>
      <c r="E22" s="125">
        <f>VLOOKUP($B22&amp;"1",Data!$C:$G,5,FALSE)</f>
        <v>3.39</v>
      </c>
      <c r="F22" s="126">
        <f t="shared" si="23"/>
        <v>2.6937889216650276E-3</v>
      </c>
      <c r="H22" s="123">
        <f>VLOOKUP($B22&amp;"2",Data!$C:$G,2,FALSE)</f>
        <v>5</v>
      </c>
      <c r="I22" s="124">
        <f>VLOOKUP($B22&amp;"2",Data!$C:$G,4,FALSE)</f>
        <v>1.2013888888888888E-2</v>
      </c>
      <c r="J22" s="125">
        <f>VLOOKUP($B22&amp;"2",Data!$C:$G,5,FALSE)</f>
        <v>4</v>
      </c>
      <c r="K22" s="126">
        <f t="shared" si="24"/>
        <v>3.003472222222222E-3</v>
      </c>
      <c r="M22" s="123">
        <f>VLOOKUP($B22&amp;"3",Data!$C:$G,2,FALSE)</f>
        <v>12</v>
      </c>
      <c r="N22" s="124">
        <f>VLOOKUP($B22&amp;"3",Data!$C:$G,4,FALSE)</f>
        <v>1.1145833333333334E-2</v>
      </c>
      <c r="O22" s="125">
        <f>VLOOKUP($B22&amp;"3",Data!$C:$G,5,FALSE)</f>
        <v>4.5</v>
      </c>
      <c r="P22" s="126">
        <f t="shared" si="25"/>
        <v>2.476851851851852E-3</v>
      </c>
      <c r="R22" s="123">
        <f>VLOOKUP($B22&amp;"4",Data!$C:$G,2,FALSE)</f>
        <v>15</v>
      </c>
      <c r="S22" s="124">
        <f>VLOOKUP($B22&amp;"4",Data!$C:$G,4,FALSE)</f>
        <v>1.0717592592592593E-2</v>
      </c>
      <c r="T22" s="125">
        <f>VLOOKUP($B22&amp;"4",Data!$C:$G,5,FALSE)</f>
        <v>4.49</v>
      </c>
      <c r="U22" s="126">
        <f t="shared" si="26"/>
        <v>2.3869916687288624E-3</v>
      </c>
      <c r="W22" s="129">
        <f t="shared" si="27"/>
        <v>16.380000000000003</v>
      </c>
      <c r="X22" s="148">
        <f t="shared" si="28"/>
        <v>4.3009259259259254E-2</v>
      </c>
      <c r="Y22" s="126">
        <f t="shared" si="29"/>
        <v>2.6257179034956807E-3</v>
      </c>
      <c r="AA22" s="166">
        <f t="shared" si="22"/>
        <v>4</v>
      </c>
      <c r="AB22" s="166">
        <f>VLOOKUP(B22,'Team Selection'!$J$15:$L$50,3,FALSE)</f>
        <v>13</v>
      </c>
    </row>
    <row r="23" spans="1:28" x14ac:dyDescent="0.2">
      <c r="A23" s="4"/>
      <c r="B23" s="152" t="str">
        <f>+'Team Selection'!F11</f>
        <v>Andrew Compson</v>
      </c>
      <c r="C23" s="157">
        <f>VLOOKUP($B23&amp;"1",Data!$C:$G,2,FALSE)</f>
        <v>2</v>
      </c>
      <c r="D23" s="158">
        <f>VLOOKUP($B23&amp;"1",Data!$C:$G,4,FALSE)</f>
        <v>9.1087962962962971E-3</v>
      </c>
      <c r="E23" s="159">
        <f>VLOOKUP($B23&amp;"1",Data!$C:$G,5,FALSE)</f>
        <v>3.39</v>
      </c>
      <c r="F23" s="160">
        <f t="shared" si="23"/>
        <v>2.6869605593794386E-3</v>
      </c>
      <c r="H23" s="157">
        <f>VLOOKUP($B23&amp;"2",Data!$C:$G,2,FALSE)</f>
        <v>6</v>
      </c>
      <c r="I23" s="158">
        <f>VLOOKUP($B23&amp;"2",Data!$C:$G,4,FALSE)</f>
        <v>1.0289351851851852E-2</v>
      </c>
      <c r="J23" s="159">
        <f>VLOOKUP($B23&amp;"2",Data!$C:$G,5,FALSE)</f>
        <v>4.2699999999999996</v>
      </c>
      <c r="K23" s="160">
        <f t="shared" si="24"/>
        <v>2.4096842744383731E-3</v>
      </c>
      <c r="M23" s="157">
        <f>VLOOKUP($B23&amp;"3",Data!$C:$G,2,FALSE)</f>
        <v>12</v>
      </c>
      <c r="N23" s="158">
        <f>VLOOKUP($B23&amp;"3",Data!$C:$G,4,FALSE)</f>
        <v>1.1388888888888888E-2</v>
      </c>
      <c r="O23" s="159">
        <f>VLOOKUP($B23&amp;"3",Data!$C:$G,5,FALSE)</f>
        <v>4.5</v>
      </c>
      <c r="P23" s="160">
        <f t="shared" si="25"/>
        <v>2.5308641975308639E-3</v>
      </c>
      <c r="R23" s="157">
        <f>VLOOKUP($B23&amp;"4",Data!$C:$G,2,FALSE)</f>
        <v>16</v>
      </c>
      <c r="S23" s="158">
        <f>VLOOKUP($B23&amp;"4",Data!$C:$G,4,FALSE)</f>
        <v>9.6759259259259264E-3</v>
      </c>
      <c r="T23" s="159">
        <f>VLOOKUP($B23&amp;"4",Data!$C:$G,5,FALSE)</f>
        <v>3.66</v>
      </c>
      <c r="U23" s="160">
        <f t="shared" si="26"/>
        <v>2.6436956081764824E-3</v>
      </c>
      <c r="W23" s="161">
        <f t="shared" si="27"/>
        <v>15.82</v>
      </c>
      <c r="X23" s="162">
        <f t="shared" si="28"/>
        <v>4.0462962962962964E-2</v>
      </c>
      <c r="Y23" s="160">
        <f t="shared" si="29"/>
        <v>2.5577094161164959E-3</v>
      </c>
      <c r="AA23" s="166">
        <f t="shared" si="22"/>
        <v>2</v>
      </c>
      <c r="AB23" s="166">
        <f>VLOOKUP(B23,'Team Selection'!$J$15:$L$50,3,FALSE)</f>
        <v>10</v>
      </c>
    </row>
    <row r="24" spans="1:28" x14ac:dyDescent="0.2">
      <c r="A24" s="5"/>
      <c r="B24" s="6"/>
      <c r="C24" s="5"/>
      <c r="D24" s="10"/>
      <c r="E24" s="11"/>
      <c r="F24" s="10"/>
      <c r="G24" s="6"/>
      <c r="H24" s="5"/>
      <c r="I24" s="10"/>
      <c r="J24" s="11"/>
      <c r="K24" s="10"/>
      <c r="L24" s="6"/>
      <c r="M24" s="5"/>
      <c r="N24" s="10"/>
      <c r="O24" s="11"/>
      <c r="P24" s="10"/>
      <c r="Q24" s="6"/>
      <c r="R24" s="5"/>
      <c r="S24" s="10"/>
      <c r="T24" s="11"/>
      <c r="U24" s="10"/>
      <c r="X24" s="10"/>
      <c r="Y24" s="10"/>
    </row>
    <row r="25" spans="1:28" x14ac:dyDescent="0.2">
      <c r="A25" s="5"/>
      <c r="B25" s="6"/>
      <c r="C25" s="5"/>
      <c r="D25" s="10"/>
      <c r="E25" s="11"/>
      <c r="F25" s="10"/>
      <c r="G25" s="6"/>
      <c r="H25" s="5"/>
      <c r="I25" s="10"/>
      <c r="J25" s="11"/>
      <c r="K25" s="10"/>
      <c r="L25" s="6"/>
      <c r="M25" s="5"/>
      <c r="N25" s="10"/>
      <c r="O25" s="11"/>
      <c r="P25" s="10"/>
      <c r="Q25" s="6"/>
      <c r="R25" s="5"/>
      <c r="S25" s="10"/>
      <c r="T25" s="11"/>
      <c r="U25" s="10"/>
      <c r="W25" s="24" t="s">
        <v>39</v>
      </c>
      <c r="X25" s="23" t="s">
        <v>39</v>
      </c>
      <c r="Y25" s="23" t="s">
        <v>40</v>
      </c>
    </row>
    <row r="26" spans="1:28" x14ac:dyDescent="0.2">
      <c r="B26" s="154" t="s">
        <v>30</v>
      </c>
      <c r="C26" s="150" t="s">
        <v>11</v>
      </c>
      <c r="D26" s="15" t="s">
        <v>7</v>
      </c>
      <c r="E26" s="17" t="s">
        <v>32</v>
      </c>
      <c r="F26" s="15" t="s">
        <v>8</v>
      </c>
      <c r="H26" s="9" t="s">
        <v>11</v>
      </c>
      <c r="I26" s="15" t="s">
        <v>7</v>
      </c>
      <c r="J26" s="17" t="s">
        <v>32</v>
      </c>
      <c r="K26" s="15" t="s">
        <v>8</v>
      </c>
      <c r="M26" s="9" t="s">
        <v>11</v>
      </c>
      <c r="N26" s="15" t="s">
        <v>7</v>
      </c>
      <c r="O26" s="17" t="s">
        <v>32</v>
      </c>
      <c r="P26" s="15" t="s">
        <v>8</v>
      </c>
      <c r="R26" s="9" t="s">
        <v>11</v>
      </c>
      <c r="S26" s="15" t="s">
        <v>7</v>
      </c>
      <c r="T26" s="17" t="s">
        <v>32</v>
      </c>
      <c r="U26" s="15" t="s">
        <v>8</v>
      </c>
      <c r="W26" s="20" t="s">
        <v>38</v>
      </c>
      <c r="X26" s="128" t="s">
        <v>7</v>
      </c>
      <c r="Y26" s="19" t="s">
        <v>8</v>
      </c>
      <c r="AA26" s="9" t="s">
        <v>10</v>
      </c>
      <c r="AB26" s="9" t="s">
        <v>95</v>
      </c>
    </row>
    <row r="27" spans="1:28" x14ac:dyDescent="0.2">
      <c r="A27" s="4"/>
      <c r="B27" s="152" t="str">
        <f>+'Team Selection'!H3</f>
        <v>Garth Calder</v>
      </c>
      <c r="C27" s="123">
        <f>VLOOKUP($B27&amp;"1",Data!$C:$G,2,FALSE)</f>
        <v>1</v>
      </c>
      <c r="D27" s="124">
        <f>VLOOKUP($B27&amp;"1",Data!$C:$G,4,FALSE)</f>
        <v>9.0856481481481483E-3</v>
      </c>
      <c r="E27" s="125">
        <f>VLOOKUP($B27&amp;"1",Data!$C:$G,5,FALSE)</f>
        <v>3.39</v>
      </c>
      <c r="F27" s="126">
        <f t="shared" ref="F27" si="30">+D27/E27</f>
        <v>2.6801321970938491E-3</v>
      </c>
      <c r="H27" s="123">
        <f>VLOOKUP($B27&amp;"2",Data!$C:$G,2,FALSE)</f>
        <v>5</v>
      </c>
      <c r="I27" s="124">
        <f>VLOOKUP($B27&amp;"2",Data!$C:$G,4,FALSE)</f>
        <v>1.1944444444444445E-2</v>
      </c>
      <c r="J27" s="125">
        <f>VLOOKUP($B27&amp;"2",Data!$C:$G,5,FALSE)</f>
        <v>4</v>
      </c>
      <c r="K27" s="126">
        <f t="shared" ref="K27" si="31">+I27/J27</f>
        <v>2.9861111111111113E-3</v>
      </c>
      <c r="M27" s="123">
        <f>VLOOKUP($B27&amp;"3",Data!$C:$G,2,FALSE)</f>
        <v>10</v>
      </c>
      <c r="N27" s="124">
        <f>VLOOKUP($B27&amp;"3",Data!$C:$G,4,FALSE)</f>
        <v>1.0925925925925924E-2</v>
      </c>
      <c r="O27" s="125">
        <f>VLOOKUP($B27&amp;"3",Data!$C:$G,5,FALSE)</f>
        <v>3.7</v>
      </c>
      <c r="P27" s="126">
        <f t="shared" ref="P27" si="32">+N27/O27</f>
        <v>2.9529529529529522E-3</v>
      </c>
      <c r="R27" s="123">
        <f>VLOOKUP($B27&amp;"4",Data!$C:$G,2,FALSE)</f>
        <v>15</v>
      </c>
      <c r="S27" s="124">
        <f>VLOOKUP($B27&amp;"4",Data!$C:$G,4,FALSE)</f>
        <v>1.0775462962962964E-2</v>
      </c>
      <c r="T27" s="125">
        <f>VLOOKUP($B27&amp;"4",Data!$C:$G,5,FALSE)</f>
        <v>4.49</v>
      </c>
      <c r="U27" s="126">
        <f t="shared" ref="U27" si="33">+S27/T27</f>
        <v>2.3998803926420856E-3</v>
      </c>
      <c r="W27" s="129">
        <f t="shared" ref="W27" si="34">SUM(E27,J27,O27,T27)</f>
        <v>15.58</v>
      </c>
      <c r="X27" s="147">
        <f t="shared" ref="X27" si="35">SUM(D27,I27,N27,S27)</f>
        <v>4.2731481481481481E-2</v>
      </c>
      <c r="Y27" s="126">
        <f t="shared" ref="Y27" si="36">SUM(D27,I27,N27,S27)/W27</f>
        <v>2.7427138306470784E-3</v>
      </c>
      <c r="AA27" s="9">
        <f t="shared" ref="AA27:AA35" si="37">RANK(Y27,Y$27:Y$35,1)</f>
        <v>2</v>
      </c>
      <c r="AB27" s="9">
        <f>VLOOKUP(B27,'Team Selection'!$J$15:$L$50,3,FALSE)</f>
        <v>20</v>
      </c>
    </row>
    <row r="28" spans="1:28" x14ac:dyDescent="0.2">
      <c r="A28" s="4"/>
      <c r="B28" s="152" t="str">
        <f>+'Team Selection'!H4</f>
        <v>Dan Langelaan</v>
      </c>
      <c r="C28" s="123">
        <f>VLOOKUP($B28&amp;"1",Data!$C:$G,2,FALSE)</f>
        <v>2</v>
      </c>
      <c r="D28" s="124">
        <f>VLOOKUP($B28&amp;"1",Data!$C:$G,4,FALSE)</f>
        <v>9.1782407407407403E-3</v>
      </c>
      <c r="E28" s="125">
        <f>VLOOKUP($B28&amp;"1",Data!$C:$G,5,FALSE)</f>
        <v>3.39</v>
      </c>
      <c r="F28" s="126">
        <f t="shared" ref="F28:F35" si="38">+D28/E28</f>
        <v>2.7074456462362066E-3</v>
      </c>
      <c r="H28" s="123">
        <f>VLOOKUP($B28&amp;"2",Data!$C:$G,2,FALSE)</f>
        <v>6</v>
      </c>
      <c r="I28" s="124">
        <f>VLOOKUP($B28&amp;"2",Data!$C:$G,4,FALSE)</f>
        <v>1.0578703703703703E-2</v>
      </c>
      <c r="J28" s="125">
        <f>VLOOKUP($B28&amp;"2",Data!$C:$G,5,FALSE)</f>
        <v>4.2699999999999996</v>
      </c>
      <c r="K28" s="126">
        <f t="shared" ref="K28:K35" si="39">+I28/J28</f>
        <v>2.4774481741694858E-3</v>
      </c>
      <c r="M28" s="123">
        <f>VLOOKUP($B28&amp;"3",Data!$C:$G,2,FALSE)</f>
        <v>12</v>
      </c>
      <c r="N28" s="124">
        <f>VLOOKUP($B28&amp;"3",Data!$C:$G,4,FALSE)</f>
        <v>1.1284722222222222E-2</v>
      </c>
      <c r="O28" s="125">
        <f>VLOOKUP($B28&amp;"3",Data!$C:$G,5,FALSE)</f>
        <v>4.5</v>
      </c>
      <c r="P28" s="126">
        <f t="shared" ref="P28:P35" si="40">+N28/O28</f>
        <v>2.5077160493827159E-3</v>
      </c>
      <c r="R28" s="123">
        <f>VLOOKUP($B28&amp;"4",Data!$C:$G,2,FALSE)</f>
        <v>16</v>
      </c>
      <c r="S28" s="124">
        <f>VLOOKUP($B28&amp;"4",Data!$C:$G,4,FALSE)</f>
        <v>9.8842592592592576E-3</v>
      </c>
      <c r="T28" s="125">
        <f>VLOOKUP($B28&amp;"4",Data!$C:$G,5,FALSE)</f>
        <v>3.66</v>
      </c>
      <c r="U28" s="126">
        <f t="shared" ref="U28:U35" si="41">+S28/T28</f>
        <v>2.7006172839506167E-3</v>
      </c>
      <c r="W28" s="129">
        <f t="shared" ref="W28:W35" si="42">SUM(E28,J28,O28,T28)</f>
        <v>15.82</v>
      </c>
      <c r="X28" s="147">
        <f t="shared" ref="X28:X35" si="43">SUM(D28,I28,N28,S28)</f>
        <v>4.0925925925925928E-2</v>
      </c>
      <c r="Y28" s="126">
        <f t="shared" ref="Y28:Y35" si="44">SUM(D28,I28,N28,S28)/W28</f>
        <v>2.586973825911879E-3</v>
      </c>
      <c r="AA28" s="166">
        <f t="shared" si="37"/>
        <v>1</v>
      </c>
      <c r="AB28" s="166">
        <f>VLOOKUP(B28,'Team Selection'!$J$15:$L$50,3,FALSE)</f>
        <v>19</v>
      </c>
    </row>
    <row r="29" spans="1:28" x14ac:dyDescent="0.2">
      <c r="A29" s="4"/>
      <c r="B29" s="152" t="str">
        <f>+'Team Selection'!H5</f>
        <v>Joe Vaughan</v>
      </c>
      <c r="C29" s="123">
        <f>VLOOKUP($B29&amp;"1",Data!$C:$G,2,FALSE)</f>
        <v>2</v>
      </c>
      <c r="D29" s="124">
        <f>VLOOKUP($B29&amp;"1",Data!$C:$G,4,FALSE)</f>
        <v>9.2939814814814812E-3</v>
      </c>
      <c r="E29" s="125">
        <f>VLOOKUP($B29&amp;"1",Data!$C:$G,5,FALSE)</f>
        <v>3.39</v>
      </c>
      <c r="F29" s="126">
        <f t="shared" si="38"/>
        <v>2.7415874576641537E-3</v>
      </c>
      <c r="H29" s="123">
        <f>VLOOKUP($B29&amp;"2",Data!$C:$G,2,FALSE)</f>
        <v>6</v>
      </c>
      <c r="I29" s="124">
        <f>VLOOKUP($B29&amp;"2",Data!$C:$G,4,FALSE)</f>
        <v>1.1226851851851854E-2</v>
      </c>
      <c r="J29" s="125">
        <f>VLOOKUP($B29&amp;"2",Data!$C:$G,5,FALSE)</f>
        <v>4.2699999999999996</v>
      </c>
      <c r="K29" s="126">
        <f t="shared" si="39"/>
        <v>2.6292393095671794E-3</v>
      </c>
      <c r="M29" s="123">
        <f>VLOOKUP($B29&amp;"3",Data!$C:$G,2,FALSE)</f>
        <v>10</v>
      </c>
      <c r="N29" s="124">
        <f>VLOOKUP($B29&amp;"3",Data!$C:$G,4,FALSE)</f>
        <v>1.0983796296296297E-2</v>
      </c>
      <c r="O29" s="125">
        <f>VLOOKUP($B29&amp;"3",Data!$C:$G,5,FALSE)</f>
        <v>3.7</v>
      </c>
      <c r="P29" s="126">
        <f t="shared" si="40"/>
        <v>2.9685935935935938E-3</v>
      </c>
      <c r="R29" s="123">
        <f>VLOOKUP($B29&amp;"4",Data!$C:$G,2,FALSE)</f>
        <v>13</v>
      </c>
      <c r="S29" s="124">
        <f>VLOOKUP($B29&amp;"4",Data!$C:$G,4,FALSE)</f>
        <v>1.3414351851851851E-2</v>
      </c>
      <c r="T29" s="125">
        <f>VLOOKUP($B29&amp;"4",Data!$C:$G,5,FALSE)</f>
        <v>4.5</v>
      </c>
      <c r="U29" s="126">
        <f t="shared" si="41"/>
        <v>2.9809670781893003E-3</v>
      </c>
      <c r="W29" s="129">
        <f t="shared" si="42"/>
        <v>15.86</v>
      </c>
      <c r="X29" s="147">
        <f t="shared" si="43"/>
        <v>4.4918981481481483E-2</v>
      </c>
      <c r="Y29" s="126">
        <f t="shared" si="44"/>
        <v>2.8322182523002198E-3</v>
      </c>
      <c r="AA29" s="166">
        <f t="shared" si="37"/>
        <v>4</v>
      </c>
      <c r="AB29" s="166">
        <f>VLOOKUP(B29,'Team Selection'!$J$15:$L$50,3,FALSE)</f>
        <v>22</v>
      </c>
    </row>
    <row r="30" spans="1:28" x14ac:dyDescent="0.2">
      <c r="A30" s="4"/>
      <c r="B30" s="152" t="str">
        <f>+'Team Selection'!H6</f>
        <v>Glenn Carroll</v>
      </c>
      <c r="C30" s="123">
        <f>VLOOKUP($B30&amp;"1",Data!$C:$G,2,FALSE)</f>
        <v>2</v>
      </c>
      <c r="D30" s="124">
        <f>VLOOKUP($B30&amp;"1",Data!$C:$G,4,FALSE)</f>
        <v>9.3981481481481485E-3</v>
      </c>
      <c r="E30" s="125">
        <f>VLOOKUP($B30&amp;"1",Data!$C:$G,5,FALSE)</f>
        <v>3.39</v>
      </c>
      <c r="F30" s="126">
        <f t="shared" si="38"/>
        <v>2.7723150879493063E-3</v>
      </c>
      <c r="H30" s="123">
        <f>VLOOKUP($B30&amp;"2",Data!$C:$G,2,FALSE)</f>
        <v>8</v>
      </c>
      <c r="I30" s="124">
        <f>VLOOKUP($B30&amp;"2",Data!$C:$G,4,FALSE)</f>
        <v>1.6273148148148148E-2</v>
      </c>
      <c r="J30" s="125">
        <f>VLOOKUP($B30&amp;"2",Data!$C:$G,5,FALSE)</f>
        <v>5.13</v>
      </c>
      <c r="K30" s="126">
        <f t="shared" si="39"/>
        <v>3.1721536351165982E-3</v>
      </c>
      <c r="M30" s="123">
        <f>VLOOKUP($B30&amp;"3",Data!$C:$G,2,FALSE)</f>
        <v>10</v>
      </c>
      <c r="N30" s="124">
        <f>VLOOKUP($B30&amp;"3",Data!$C:$G,4,FALSE)</f>
        <v>1.136574074074074E-2</v>
      </c>
      <c r="O30" s="125">
        <f>VLOOKUP($B30&amp;"3",Data!$C:$G,5,FALSE)</f>
        <v>3.7</v>
      </c>
      <c r="P30" s="126">
        <f t="shared" si="40"/>
        <v>3.0718218218218217E-3</v>
      </c>
      <c r="R30" s="123">
        <f>VLOOKUP($B30&amp;"4",Data!$C:$G,2,FALSE)</f>
        <v>14</v>
      </c>
      <c r="S30" s="174">
        <f>VLOOKUP($B30&amp;"4",Data!$C:$G,4,FALSE)</f>
        <v>1.7361111111111112E-2</v>
      </c>
      <c r="T30" s="125">
        <f>VLOOKUP($B30&amp;"4",Data!$C:$G,5,FALSE)</f>
        <v>4.21</v>
      </c>
      <c r="U30" s="126">
        <f t="shared" si="41"/>
        <v>4.1237793613090531E-3</v>
      </c>
      <c r="W30" s="129">
        <f t="shared" si="42"/>
        <v>16.43</v>
      </c>
      <c r="X30" s="147">
        <f t="shared" si="43"/>
        <v>5.4398148148148147E-2</v>
      </c>
      <c r="Y30" s="126">
        <f t="shared" si="44"/>
        <v>3.3109037217375621E-3</v>
      </c>
      <c r="AA30" s="166">
        <f t="shared" si="37"/>
        <v>9</v>
      </c>
      <c r="AB30" s="166">
        <f>VLOOKUP(B30,'Team Selection'!$J$15:$L$50,3,FALSE)</f>
        <v>25</v>
      </c>
    </row>
    <row r="31" spans="1:28" x14ac:dyDescent="0.2">
      <c r="A31" s="4"/>
      <c r="B31" s="152" t="str">
        <f>+'Team Selection'!H7</f>
        <v>Ewen Vowels</v>
      </c>
      <c r="C31" s="123">
        <f>VLOOKUP($B31&amp;"1",Data!$C:$G,2,FALSE)</f>
        <v>2</v>
      </c>
      <c r="D31" s="124">
        <f>VLOOKUP($B31&amp;"1",Data!$C:$G,4,FALSE)</f>
        <v>9.9189814814814817E-3</v>
      </c>
      <c r="E31" s="125">
        <f>VLOOKUP($B31&amp;"1",Data!$C:$G,5,FALSE)</f>
        <v>3.39</v>
      </c>
      <c r="F31" s="126">
        <f t="shared" si="38"/>
        <v>2.9259532393750682E-3</v>
      </c>
      <c r="H31" s="123">
        <f>VLOOKUP($B31&amp;"2",Data!$C:$G,2,FALSE)</f>
        <v>6</v>
      </c>
      <c r="I31" s="124">
        <f>VLOOKUP($B31&amp;"2",Data!$C:$G,4,FALSE)</f>
        <v>1.1412037037037038E-2</v>
      </c>
      <c r="J31" s="125">
        <f>VLOOKUP($B31&amp;"2",Data!$C:$G,5,FALSE)</f>
        <v>4.2699999999999996</v>
      </c>
      <c r="K31" s="126">
        <f t="shared" si="39"/>
        <v>2.6726082053950911E-3</v>
      </c>
      <c r="M31" s="123">
        <f>VLOOKUP($B31&amp;"3",Data!$C:$G,2,FALSE)</f>
        <v>10</v>
      </c>
      <c r="N31" s="124">
        <f>VLOOKUP($B31&amp;"3",Data!$C:$G,4,FALSE)</f>
        <v>1.1666666666666667E-2</v>
      </c>
      <c r="O31" s="125">
        <f>VLOOKUP($B31&amp;"3",Data!$C:$G,5,FALSE)</f>
        <v>3.7</v>
      </c>
      <c r="P31" s="126">
        <f t="shared" si="40"/>
        <v>3.153153153153153E-3</v>
      </c>
      <c r="R31" s="123">
        <f>VLOOKUP($B31&amp;"4",Data!$C:$G,2,FALSE)</f>
        <v>14</v>
      </c>
      <c r="S31" s="124">
        <f>VLOOKUP($B31&amp;"4",Data!$C:$G,4,FALSE)</f>
        <v>1.1979166666666666E-2</v>
      </c>
      <c r="T31" s="125">
        <f>VLOOKUP($B31&amp;"4",Data!$C:$G,5,FALSE)</f>
        <v>4.21</v>
      </c>
      <c r="U31" s="126">
        <f t="shared" si="41"/>
        <v>2.845407759303246E-3</v>
      </c>
      <c r="W31" s="129">
        <f t="shared" si="42"/>
        <v>15.57</v>
      </c>
      <c r="X31" s="147">
        <f t="shared" si="43"/>
        <v>4.4976851851851851E-2</v>
      </c>
      <c r="Y31" s="126">
        <f t="shared" si="44"/>
        <v>2.8886866956873377E-3</v>
      </c>
      <c r="AA31" s="166">
        <f t="shared" si="37"/>
        <v>6</v>
      </c>
      <c r="AB31" s="166">
        <f>VLOOKUP(B31,'Team Selection'!$J$15:$L$50,3,FALSE)</f>
        <v>24</v>
      </c>
    </row>
    <row r="32" spans="1:28" x14ac:dyDescent="0.2">
      <c r="A32" s="4"/>
      <c r="B32" s="152" t="str">
        <f>+'Team Selection'!H8</f>
        <v>Tony Hally</v>
      </c>
      <c r="C32" s="123">
        <f>VLOOKUP($B32&amp;"1",Data!$C:$G,2,FALSE)</f>
        <v>1</v>
      </c>
      <c r="D32" s="124">
        <f>VLOOKUP($B32&amp;"1",Data!$C:$G,4,FALSE)</f>
        <v>1.0069444444444445E-2</v>
      </c>
      <c r="E32" s="125">
        <f>VLOOKUP($B32&amp;"1",Data!$C:$G,5,FALSE)</f>
        <v>3.39</v>
      </c>
      <c r="F32" s="126">
        <f t="shared" si="38"/>
        <v>2.9703375942313997E-3</v>
      </c>
      <c r="H32" s="123">
        <f>VLOOKUP($B32&amp;"2",Data!$C:$G,2,FALSE)</f>
        <v>5</v>
      </c>
      <c r="I32" s="124">
        <f>VLOOKUP($B32&amp;"2",Data!$C:$G,4,FALSE)</f>
        <v>1.2812499999999999E-2</v>
      </c>
      <c r="J32" s="125">
        <f>VLOOKUP($B32&amp;"2",Data!$C:$G,5,FALSE)</f>
        <v>4</v>
      </c>
      <c r="K32" s="126">
        <f t="shared" si="39"/>
        <v>3.2031249999999998E-3</v>
      </c>
      <c r="M32" s="123">
        <f>VLOOKUP($B32&amp;"3",Data!$C:$G,2,FALSE)</f>
        <v>10</v>
      </c>
      <c r="N32" s="124">
        <f>VLOOKUP($B32&amp;"3",Data!$C:$G,4,FALSE)</f>
        <v>1.1504629629629629E-2</v>
      </c>
      <c r="O32" s="125">
        <f>VLOOKUP($B32&amp;"3",Data!$C:$G,5,FALSE)</f>
        <v>3.7</v>
      </c>
      <c r="P32" s="126">
        <f t="shared" si="40"/>
        <v>3.109359359359359E-3</v>
      </c>
      <c r="R32" s="123">
        <f>VLOOKUP($B32&amp;"4",Data!$C:$G,2,FALSE)</f>
        <v>14</v>
      </c>
      <c r="S32" s="124">
        <f>VLOOKUP($B32&amp;"4",Data!$C:$G,4,FALSE)</f>
        <v>1.1620370370370371E-2</v>
      </c>
      <c r="T32" s="125">
        <f>VLOOKUP($B32&amp;"4",Data!$C:$G,5,FALSE)</f>
        <v>4.21</v>
      </c>
      <c r="U32" s="126">
        <f t="shared" si="41"/>
        <v>2.7601829858361925E-3</v>
      </c>
      <c r="W32" s="129">
        <f t="shared" si="42"/>
        <v>15.3</v>
      </c>
      <c r="X32" s="147">
        <f t="shared" si="43"/>
        <v>4.6006944444444441E-2</v>
      </c>
      <c r="Y32" s="126">
        <f t="shared" si="44"/>
        <v>3.0069898329702248E-3</v>
      </c>
      <c r="AA32" s="166">
        <f t="shared" si="37"/>
        <v>7</v>
      </c>
      <c r="AB32" s="166">
        <f>VLOOKUP(B32,'Team Selection'!$J$15:$L$50,3,FALSE)</f>
        <v>23</v>
      </c>
    </row>
    <row r="33" spans="1:28" x14ac:dyDescent="0.2">
      <c r="A33" s="4"/>
      <c r="B33" s="152" t="str">
        <f>+'Team Selection'!H9</f>
        <v>Mark Symes</v>
      </c>
      <c r="C33" s="123">
        <f>VLOOKUP($B33&amp;"1",Data!$C:$G,2,FALSE)</f>
        <v>1</v>
      </c>
      <c r="D33" s="124">
        <f>VLOOKUP($B33&amp;"1",Data!$C:$G,4,FALSE)</f>
        <v>9.2129629629629627E-3</v>
      </c>
      <c r="E33" s="125">
        <f>VLOOKUP($B33&amp;"1",Data!$C:$G,5,FALSE)</f>
        <v>3.39</v>
      </c>
      <c r="F33" s="126">
        <f t="shared" si="38"/>
        <v>2.7176881896645907E-3</v>
      </c>
      <c r="H33" s="123">
        <f>VLOOKUP($B33&amp;"2",Data!$C:$G,2,FALSE)</f>
        <v>5</v>
      </c>
      <c r="I33" s="124">
        <f>VLOOKUP($B33&amp;"2",Data!$C:$G,4,FALSE)</f>
        <v>1.1770833333333333E-2</v>
      </c>
      <c r="J33" s="125">
        <f>VLOOKUP($B33&amp;"2",Data!$C:$G,5,FALSE)</f>
        <v>4</v>
      </c>
      <c r="K33" s="126">
        <f t="shared" si="39"/>
        <v>2.9427083333333332E-3</v>
      </c>
      <c r="M33" s="123">
        <f>VLOOKUP($B33&amp;"3",Data!$C:$G,2,FALSE)</f>
        <v>10</v>
      </c>
      <c r="N33" s="124">
        <f>VLOOKUP($B33&amp;"3",Data!$C:$G,4,FALSE)</f>
        <v>1.0625000000000001E-2</v>
      </c>
      <c r="O33" s="125">
        <f>VLOOKUP($B33&amp;"3",Data!$C:$G,5,FALSE)</f>
        <v>3.7</v>
      </c>
      <c r="P33" s="126">
        <f t="shared" si="40"/>
        <v>2.8716216216216218E-3</v>
      </c>
      <c r="R33" s="123">
        <f>VLOOKUP($B33&amp;"4",Data!$C:$G,2,FALSE)</f>
        <v>14</v>
      </c>
      <c r="S33" s="124">
        <f>VLOOKUP($B33&amp;"4",Data!$C:$G,4,FALSE)</f>
        <v>1.0995370370370371E-2</v>
      </c>
      <c r="T33" s="125">
        <f>VLOOKUP($B33&amp;"4",Data!$C:$G,5,FALSE)</f>
        <v>4.21</v>
      </c>
      <c r="U33" s="126">
        <f t="shared" si="41"/>
        <v>2.6117269288290666E-3</v>
      </c>
      <c r="W33" s="129">
        <f t="shared" si="42"/>
        <v>15.3</v>
      </c>
      <c r="X33" s="147">
        <f t="shared" si="43"/>
        <v>4.2604166666666665E-2</v>
      </c>
      <c r="Y33" s="126">
        <f t="shared" si="44"/>
        <v>2.7845860566448801E-3</v>
      </c>
      <c r="AA33" s="166">
        <f t="shared" si="37"/>
        <v>3</v>
      </c>
      <c r="AB33" s="166">
        <f>VLOOKUP(B33,'Team Selection'!$J$15:$L$50,3,FALSE)</f>
        <v>21</v>
      </c>
    </row>
    <row r="34" spans="1:28" x14ac:dyDescent="0.2">
      <c r="A34" s="4"/>
      <c r="B34" s="152" t="str">
        <f>+'Team Selection'!H10</f>
        <v>Greg Roche</v>
      </c>
      <c r="C34" s="123">
        <f>VLOOKUP($B34&amp;"1",Data!$C:$G,2,FALSE)</f>
        <v>2</v>
      </c>
      <c r="D34" s="124">
        <f>VLOOKUP($B34&amp;"1",Data!$C:$G,4,FALSE)</f>
        <v>9.7106481481481471E-3</v>
      </c>
      <c r="E34" s="125">
        <f>VLOOKUP($B34&amp;"1",Data!$C:$G,5,FALSE)</f>
        <v>3.39</v>
      </c>
      <c r="F34" s="126">
        <f t="shared" si="38"/>
        <v>2.8644979788047631E-3</v>
      </c>
      <c r="H34" s="123">
        <f>VLOOKUP($B34&amp;"2",Data!$C:$G,2,FALSE)</f>
        <v>6</v>
      </c>
      <c r="I34" s="124">
        <f>VLOOKUP($B34&amp;"2",Data!$C:$G,4,FALSE)</f>
        <v>1.1307870370370371E-2</v>
      </c>
      <c r="J34" s="125">
        <f>VLOOKUP($B34&amp;"2",Data!$C:$G,5,FALSE)</f>
        <v>4.2699999999999996</v>
      </c>
      <c r="K34" s="126">
        <f t="shared" si="39"/>
        <v>2.6482132014918904E-3</v>
      </c>
      <c r="M34" s="123">
        <f>VLOOKUP($B34&amp;"3",Data!$C:$G,2,FALSE)</f>
        <v>9</v>
      </c>
      <c r="N34" s="124">
        <f>VLOOKUP($B34&amp;"3",Data!$C:$G,4,FALSE)</f>
        <v>1.1412037037037038E-2</v>
      </c>
      <c r="O34" s="125">
        <f>VLOOKUP($B34&amp;"3",Data!$C:$G,5,FALSE)</f>
        <v>3.66</v>
      </c>
      <c r="P34" s="126">
        <f t="shared" si="40"/>
        <v>3.1180429062942728E-3</v>
      </c>
      <c r="R34" s="123">
        <f>VLOOKUP($B34&amp;"4",Data!$C:$G,2,FALSE)</f>
        <v>14</v>
      </c>
      <c r="S34" s="124">
        <f>VLOOKUP($B34&amp;"4",Data!$C:$G,4,FALSE)</f>
        <v>1.1979166666666666E-2</v>
      </c>
      <c r="T34" s="125">
        <f>VLOOKUP($B34&amp;"4",Data!$C:$G,5,FALSE)</f>
        <v>4.21</v>
      </c>
      <c r="U34" s="126">
        <f t="shared" si="41"/>
        <v>2.845407759303246E-3</v>
      </c>
      <c r="W34" s="129">
        <f t="shared" si="42"/>
        <v>15.530000000000001</v>
      </c>
      <c r="X34" s="147">
        <f t="shared" si="43"/>
        <v>4.4409722222222225E-2</v>
      </c>
      <c r="Y34" s="126">
        <f t="shared" si="44"/>
        <v>2.8596086427702654E-3</v>
      </c>
      <c r="AA34" s="166">
        <f t="shared" si="37"/>
        <v>5</v>
      </c>
      <c r="AB34" s="166">
        <f>VLOOKUP(B34,'Team Selection'!$J$15:$L$50,3,FALSE)</f>
        <v>26</v>
      </c>
    </row>
    <row r="35" spans="1:28" x14ac:dyDescent="0.2">
      <c r="A35" s="4"/>
      <c r="B35" s="152" t="str">
        <f>+'Team Selection'!H11</f>
        <v>Simon Moore</v>
      </c>
      <c r="C35" s="157">
        <f>VLOOKUP($B35&amp;"1",Data!$C:$G,2,FALSE)</f>
        <v>1</v>
      </c>
      <c r="D35" s="158">
        <f>VLOOKUP($B35&amp;"1",Data!$C:$G,4,FALSE)</f>
        <v>1.0011574074074074E-2</v>
      </c>
      <c r="E35" s="159">
        <f>VLOOKUP($B35&amp;"1",Data!$C:$G,5,FALSE)</f>
        <v>3.39</v>
      </c>
      <c r="F35" s="160">
        <f t="shared" si="38"/>
        <v>2.9532666885174258E-3</v>
      </c>
      <c r="H35" s="157">
        <f>VLOOKUP($B35&amp;"2",Data!$C:$G,2,FALSE)</f>
        <v>5</v>
      </c>
      <c r="I35" s="158">
        <f>VLOOKUP($B35&amp;"2",Data!$C:$G,4,FALSE)</f>
        <v>1.2905092592592591E-2</v>
      </c>
      <c r="J35" s="159">
        <f>VLOOKUP($B35&amp;"2",Data!$C:$G,5,FALSE)</f>
        <v>4</v>
      </c>
      <c r="K35" s="160">
        <f t="shared" si="39"/>
        <v>3.2262731481481478E-3</v>
      </c>
      <c r="M35" s="157">
        <f>VLOOKUP($B35&amp;"3",Data!$C:$G,2,FALSE)</f>
        <v>9</v>
      </c>
      <c r="N35" s="158">
        <f>VLOOKUP($B35&amp;"3",Data!$C:$G,4,FALSE)</f>
        <v>1.1516203703703702E-2</v>
      </c>
      <c r="O35" s="159">
        <f>VLOOKUP($B35&amp;"3",Data!$C:$G,5,FALSE)</f>
        <v>3.66</v>
      </c>
      <c r="P35" s="160">
        <f t="shared" si="40"/>
        <v>3.1465037441813391E-3</v>
      </c>
      <c r="R35" s="157">
        <f>VLOOKUP($B35&amp;"4",Data!$C:$G,2,FALSE)</f>
        <v>13</v>
      </c>
      <c r="S35" s="158">
        <f>VLOOKUP($B35&amp;"4",Data!$C:$G,4,FALSE)</f>
        <v>1.375E-2</v>
      </c>
      <c r="T35" s="159">
        <f>VLOOKUP($B35&amp;"4",Data!$C:$G,5,FALSE)</f>
        <v>4.5</v>
      </c>
      <c r="U35" s="160">
        <f t="shared" si="41"/>
        <v>3.0555555555555557E-3</v>
      </c>
      <c r="W35" s="161">
        <f t="shared" si="42"/>
        <v>15.55</v>
      </c>
      <c r="X35" s="165">
        <f t="shared" si="43"/>
        <v>4.8182870370370362E-2</v>
      </c>
      <c r="Y35" s="160">
        <f t="shared" si="44"/>
        <v>3.0985768726926278E-3</v>
      </c>
      <c r="AA35" s="166">
        <f t="shared" si="37"/>
        <v>8</v>
      </c>
      <c r="AB35" s="166">
        <f>VLOOKUP(B35,'Team Selection'!$J$15:$L$50,3,FALSE)</f>
        <v>28</v>
      </c>
    </row>
    <row r="36" spans="1:28" x14ac:dyDescent="0.2">
      <c r="A36" s="5"/>
      <c r="B36" s="6"/>
      <c r="C36" s="5"/>
      <c r="D36" s="10"/>
      <c r="E36" s="11"/>
      <c r="F36" s="10"/>
      <c r="G36" s="6"/>
      <c r="H36" s="5"/>
      <c r="I36" s="10"/>
      <c r="J36" s="11"/>
      <c r="K36" s="10"/>
      <c r="L36" s="6"/>
      <c r="M36" s="5"/>
      <c r="N36" s="10"/>
      <c r="O36" s="11"/>
      <c r="P36" s="10"/>
      <c r="Q36" s="6"/>
      <c r="R36" s="5"/>
      <c r="S36" s="10"/>
      <c r="T36" s="11"/>
      <c r="U36" s="10"/>
      <c r="V36" s="6"/>
      <c r="X36" s="10"/>
      <c r="Y36" s="10"/>
    </row>
    <row r="37" spans="1:28" x14ac:dyDescent="0.2">
      <c r="A37" s="5"/>
      <c r="B37" s="6"/>
      <c r="C37" s="5"/>
      <c r="D37" s="10"/>
      <c r="E37" s="11"/>
      <c r="F37" s="10"/>
      <c r="G37" s="6"/>
      <c r="H37" s="5"/>
      <c r="I37" s="10"/>
      <c r="J37" s="11"/>
      <c r="K37" s="10"/>
      <c r="L37" s="6"/>
      <c r="M37" s="5"/>
      <c r="N37" s="10"/>
      <c r="O37" s="11"/>
      <c r="P37" s="10"/>
      <c r="Q37" s="6"/>
      <c r="R37" s="5"/>
      <c r="S37" s="10"/>
      <c r="T37" s="11"/>
      <c r="U37" s="10"/>
      <c r="V37" s="6"/>
      <c r="W37" s="24" t="s">
        <v>39</v>
      </c>
      <c r="X37" s="23" t="s">
        <v>39</v>
      </c>
      <c r="Y37" s="23" t="s">
        <v>40</v>
      </c>
    </row>
    <row r="38" spans="1:28" x14ac:dyDescent="0.2">
      <c r="A38" s="153"/>
      <c r="B38" s="154" t="s">
        <v>31</v>
      </c>
      <c r="C38" s="150" t="s">
        <v>11</v>
      </c>
      <c r="D38" s="15" t="s">
        <v>7</v>
      </c>
      <c r="E38" s="17" t="s">
        <v>32</v>
      </c>
      <c r="F38" s="15" t="s">
        <v>8</v>
      </c>
      <c r="H38" s="9" t="s">
        <v>11</v>
      </c>
      <c r="I38" s="15" t="s">
        <v>7</v>
      </c>
      <c r="J38" s="17" t="s">
        <v>32</v>
      </c>
      <c r="K38" s="15" t="s">
        <v>8</v>
      </c>
      <c r="M38" s="9" t="s">
        <v>11</v>
      </c>
      <c r="N38" s="15" t="s">
        <v>7</v>
      </c>
      <c r="O38" s="17" t="s">
        <v>32</v>
      </c>
      <c r="P38" s="15" t="s">
        <v>8</v>
      </c>
      <c r="R38" s="9" t="s">
        <v>11</v>
      </c>
      <c r="S38" s="15" t="s">
        <v>7</v>
      </c>
      <c r="T38" s="17" t="s">
        <v>32</v>
      </c>
      <c r="U38" s="15" t="s">
        <v>8</v>
      </c>
      <c r="W38" s="20" t="s">
        <v>38</v>
      </c>
      <c r="X38" s="128" t="s">
        <v>7</v>
      </c>
      <c r="Y38" s="19" t="s">
        <v>8</v>
      </c>
      <c r="AA38" s="9" t="s">
        <v>10</v>
      </c>
      <c r="AB38" s="9" t="s">
        <v>95</v>
      </c>
    </row>
    <row r="39" spans="1:28" x14ac:dyDescent="0.2">
      <c r="A39" s="4"/>
      <c r="B39" s="152" t="str">
        <f>+'Team Selection'!J3</f>
        <v>Matt Clark</v>
      </c>
      <c r="C39" s="123">
        <f>VLOOKUP($B39&amp;"1",Data!$C:$G,2,FALSE)</f>
        <v>3</v>
      </c>
      <c r="D39" s="124">
        <f>VLOOKUP($B39&amp;"1",Data!$C:$G,4,FALSE)</f>
        <v>1.0798611111111111E-2</v>
      </c>
      <c r="E39" s="125">
        <f>VLOOKUP($B39&amp;"1",Data!$C:$G,5,FALSE)</f>
        <v>3.39</v>
      </c>
      <c r="F39" s="126">
        <f t="shared" ref="F39" si="45">+D39/E39</f>
        <v>3.1854310062274663E-3</v>
      </c>
      <c r="H39" s="123">
        <f>VLOOKUP($B39&amp;"2",Data!$C:$G,2,FALSE)</f>
        <v>7</v>
      </c>
      <c r="I39" s="124">
        <f>VLOOKUP($B39&amp;"2",Data!$C:$G,4,FALSE)</f>
        <v>8.518518518518519E-3</v>
      </c>
      <c r="J39" s="125">
        <f>VLOOKUP($B39&amp;"2",Data!$C:$G,5,FALSE)</f>
        <v>3.2</v>
      </c>
      <c r="K39" s="126">
        <f t="shared" ref="K39" si="46">+I39/J39</f>
        <v>2.662037037037037E-3</v>
      </c>
      <c r="M39" s="123">
        <f>VLOOKUP($B39&amp;"3",Data!$C:$G,2,FALSE)</f>
        <v>9</v>
      </c>
      <c r="N39" s="124">
        <f>VLOOKUP($B39&amp;"3",Data!$C:$G,4,FALSE)</f>
        <v>1.3020833333333334E-2</v>
      </c>
      <c r="O39" s="125">
        <f>VLOOKUP($B39&amp;"3",Data!$C:$G,5,FALSE)</f>
        <v>3.66</v>
      </c>
      <c r="P39" s="126">
        <f t="shared" ref="P39" si="47">+N39/O39</f>
        <v>3.5576047358834243E-3</v>
      </c>
      <c r="R39" s="123">
        <f>VLOOKUP($B39&amp;"4",Data!$C:$G,2,FALSE)</f>
        <v>16</v>
      </c>
      <c r="S39" s="124">
        <f>VLOOKUP($B39&amp;"4",Data!$C:$G,4,FALSE)</f>
        <v>1.1574074074074075E-2</v>
      </c>
      <c r="T39" s="125">
        <f>VLOOKUP($B39&amp;"4",Data!$C:$G,5,FALSE)</f>
        <v>3.66</v>
      </c>
      <c r="U39" s="126">
        <f t="shared" ref="U39" si="48">+S39/T39</f>
        <v>3.1623153207852661E-3</v>
      </c>
      <c r="W39" s="129">
        <f t="shared" ref="W39" si="49">SUM(E39,J39,O39,T39)</f>
        <v>13.91</v>
      </c>
      <c r="X39" s="148">
        <f t="shared" ref="X39" si="50">SUM(D39,I39,N39,S39)</f>
        <v>4.3912037037037041E-2</v>
      </c>
      <c r="Y39" s="126">
        <f t="shared" ref="Y39" si="51">SUM(D39,I39,N39,S39)/W39</f>
        <v>3.1568682269616853E-3</v>
      </c>
      <c r="AA39" s="9">
        <f t="shared" ref="AA39:AA47" si="52">RANK(Y39,Y$39:Y$47,1)</f>
        <v>7</v>
      </c>
      <c r="AB39" s="9">
        <f>VLOOKUP(B39,'Team Selection'!$J$15:$L$50,3,FALSE)</f>
        <v>36</v>
      </c>
    </row>
    <row r="40" spans="1:28" x14ac:dyDescent="0.2">
      <c r="A40" s="4"/>
      <c r="B40" s="152" t="str">
        <f>+'Team Selection'!J4</f>
        <v>Elisa Mooren</v>
      </c>
      <c r="C40" s="123">
        <f>VLOOKUP($B40&amp;"1",Data!$C:$G,2,FALSE)</f>
        <v>3</v>
      </c>
      <c r="D40" s="124">
        <f>VLOOKUP($B40&amp;"1",Data!$C:$G,4,FALSE)</f>
        <v>1.1238425925925928E-2</v>
      </c>
      <c r="E40" s="125">
        <f>VLOOKUP($B40&amp;"1",Data!$C:$G,5,FALSE)</f>
        <v>3.39</v>
      </c>
      <c r="F40" s="126">
        <f t="shared" ref="F40:F47" si="53">+D40/E40</f>
        <v>3.315169889653666E-3</v>
      </c>
      <c r="H40" s="123">
        <f>VLOOKUP($B40&amp;"2",Data!$C:$G,2,FALSE)</f>
        <v>7</v>
      </c>
      <c r="I40" s="124">
        <f>VLOOKUP($B40&amp;"2",Data!$C:$G,4,FALSE)</f>
        <v>8.8078703703703704E-3</v>
      </c>
      <c r="J40" s="125">
        <f>VLOOKUP($B40&amp;"2",Data!$C:$G,5,FALSE)</f>
        <v>3.2</v>
      </c>
      <c r="K40" s="126">
        <f t="shared" ref="K40:K47" si="54">+I40/J40</f>
        <v>2.7524594907407406E-3</v>
      </c>
      <c r="M40" s="123">
        <f>VLOOKUP($B40&amp;"3",Data!$C:$G,2,FALSE)</f>
        <v>9</v>
      </c>
      <c r="N40" s="124">
        <f>VLOOKUP($B40&amp;"3",Data!$C:$G,4,FALSE)</f>
        <v>1.3043981481481483E-2</v>
      </c>
      <c r="O40" s="125">
        <f>VLOOKUP($B40&amp;"3",Data!$C:$G,5,FALSE)</f>
        <v>3.66</v>
      </c>
      <c r="P40" s="126">
        <f t="shared" ref="P40:P47" si="55">+N40/O40</f>
        <v>3.5639293665249952E-3</v>
      </c>
      <c r="R40" s="123">
        <f>VLOOKUP($B40&amp;"4",Data!$C:$G,2,FALSE)</f>
        <v>14</v>
      </c>
      <c r="S40" s="124">
        <f>VLOOKUP($B40&amp;"4",Data!$C:$G,4,FALSE)</f>
        <v>1.3495370370370371E-2</v>
      </c>
      <c r="T40" s="125">
        <f>VLOOKUP($B40&amp;"4",Data!$C:$G,5,FALSE)</f>
        <v>4.21</v>
      </c>
      <c r="U40" s="126">
        <f t="shared" ref="U40:U47" si="56">+S40/T40</f>
        <v>3.2055511568575704E-3</v>
      </c>
      <c r="W40" s="129">
        <f t="shared" ref="W40:W47" si="57">SUM(E40,J40,O40,T40)</f>
        <v>14.46</v>
      </c>
      <c r="X40" s="148">
        <f t="shared" ref="X40:X47" si="58">SUM(D40,I40,N40,S40)</f>
        <v>4.6585648148148154E-2</v>
      </c>
      <c r="Y40" s="126">
        <f t="shared" ref="Y40:Y47" si="59">SUM(D40,I40,N40,S40)/W40</f>
        <v>3.221690743302085E-3</v>
      </c>
      <c r="AA40" s="166">
        <f t="shared" si="52"/>
        <v>8</v>
      </c>
      <c r="AB40" s="166">
        <f>VLOOKUP(B40,'Team Selection'!$J$15:$L$50,3,FALSE)</f>
        <v>35</v>
      </c>
    </row>
    <row r="41" spans="1:28" x14ac:dyDescent="0.2">
      <c r="A41" s="4"/>
      <c r="B41" s="152" t="str">
        <f>+'Team Selection'!J5</f>
        <v>Nick Tobin</v>
      </c>
      <c r="C41" s="123">
        <f>VLOOKUP($B41&amp;"1",Data!$C:$G,2,FALSE)</f>
        <v>3</v>
      </c>
      <c r="D41" s="124">
        <f>VLOOKUP($B41&amp;"1",Data!$C:$G,4,FALSE)</f>
        <v>1.0173611111111111E-2</v>
      </c>
      <c r="E41" s="125">
        <f>VLOOKUP($B41&amp;"1",Data!$C:$G,5,FALSE)</f>
        <v>3.39</v>
      </c>
      <c r="F41" s="126">
        <f t="shared" si="53"/>
        <v>3.0010652245165519E-3</v>
      </c>
      <c r="H41" s="123">
        <f>VLOOKUP($B41&amp;"2",Data!$C:$G,2,FALSE)</f>
        <v>7</v>
      </c>
      <c r="I41" s="124">
        <f>VLOOKUP($B41&amp;"2",Data!$C:$G,4,FALSE)</f>
        <v>7.6157407407407415E-3</v>
      </c>
      <c r="J41" s="125">
        <f>VLOOKUP($B41&amp;"2",Data!$C:$G,5,FALSE)</f>
        <v>3.2</v>
      </c>
      <c r="K41" s="126">
        <f t="shared" si="54"/>
        <v>2.3799189814814816E-3</v>
      </c>
      <c r="M41" s="123">
        <f>VLOOKUP($B41&amp;"3",Data!$C:$G,2,FALSE)</f>
        <v>9</v>
      </c>
      <c r="N41" s="124">
        <f>VLOOKUP($B41&amp;"3",Data!$C:$G,4,FALSE)</f>
        <v>1.252314814814815E-2</v>
      </c>
      <c r="O41" s="125">
        <f>VLOOKUP($B41&amp;"3",Data!$C:$G,5,FALSE)</f>
        <v>3.66</v>
      </c>
      <c r="P41" s="126">
        <f t="shared" si="55"/>
        <v>3.4216251770896582E-3</v>
      </c>
      <c r="R41" s="123">
        <f>VLOOKUP($B41&amp;"4",Data!$C:$G,2,FALSE)</f>
        <v>16</v>
      </c>
      <c r="S41" s="124">
        <f>VLOOKUP($B41&amp;"4",Data!$C:$G,4,FALSE)</f>
        <v>1.1099537037037038E-2</v>
      </c>
      <c r="T41" s="125">
        <f>VLOOKUP($B41&amp;"4",Data!$C:$G,5,FALSE)</f>
        <v>3.66</v>
      </c>
      <c r="U41" s="126">
        <f t="shared" si="56"/>
        <v>3.0326603926330705E-3</v>
      </c>
      <c r="W41" s="129">
        <f t="shared" si="57"/>
        <v>13.91</v>
      </c>
      <c r="X41" s="148">
        <f t="shared" si="58"/>
        <v>4.1412037037037039E-2</v>
      </c>
      <c r="Y41" s="126">
        <f t="shared" si="59"/>
        <v>2.977141411720851E-3</v>
      </c>
      <c r="AA41" s="166">
        <f t="shared" si="52"/>
        <v>5</v>
      </c>
      <c r="AB41" s="166">
        <f>VLOOKUP(B41,'Team Selection'!$J$15:$L$50,3,FALSE)</f>
        <v>34</v>
      </c>
    </row>
    <row r="42" spans="1:28" x14ac:dyDescent="0.2">
      <c r="A42" s="4"/>
      <c r="B42" s="152" t="str">
        <f>+'Team Selection'!J6</f>
        <v>James Chiriano</v>
      </c>
      <c r="C42" s="123">
        <f>VLOOKUP($B42&amp;"1",Data!$C:$G,2,FALSE)</f>
        <v>3</v>
      </c>
      <c r="D42" s="124">
        <f>VLOOKUP($B42&amp;"1",Data!$C:$G,4,FALSE)</f>
        <v>1.0254629629629629E-2</v>
      </c>
      <c r="E42" s="125">
        <f>VLOOKUP($B42&amp;"1",Data!$C:$G,5,FALSE)</f>
        <v>3.39</v>
      </c>
      <c r="F42" s="126">
        <f t="shared" si="53"/>
        <v>3.0249644925161145E-3</v>
      </c>
      <c r="H42" s="123">
        <f>VLOOKUP($B42&amp;"2",Data!$C:$G,2,FALSE)</f>
        <v>6</v>
      </c>
      <c r="I42" s="124">
        <f>VLOOKUP($B42&amp;"2",Data!$C:$G,4,FALSE)</f>
        <v>1.2337962962962962E-2</v>
      </c>
      <c r="J42" s="125">
        <f>VLOOKUP($B42&amp;"2",Data!$C:$G,5,FALSE)</f>
        <v>4.2699999999999996</v>
      </c>
      <c r="K42" s="126">
        <f t="shared" si="54"/>
        <v>2.8894526845346519E-3</v>
      </c>
      <c r="M42" s="123">
        <f>VLOOKUP($B42&amp;"3",Data!$C:$G,2,FALSE)</f>
        <v>12</v>
      </c>
      <c r="N42" s="174">
        <f>VLOOKUP($B42&amp;"3",Data!$C:$G,4,FALSE)</f>
        <v>2.0833333333333332E-2</v>
      </c>
      <c r="O42" s="125">
        <f>VLOOKUP($B42&amp;"3",Data!$C:$G,5,FALSE)</f>
        <v>4.5</v>
      </c>
      <c r="P42" s="126">
        <f t="shared" si="55"/>
        <v>4.6296296296296294E-3</v>
      </c>
      <c r="R42" s="123">
        <f>VLOOKUP($B42&amp;"4",Data!$C:$G,2,FALSE)</f>
        <v>16</v>
      </c>
      <c r="S42" s="174">
        <f>VLOOKUP($B42&amp;"4",Data!$C:$G,4,FALSE)</f>
        <v>1.7361111111111112E-2</v>
      </c>
      <c r="T42" s="125">
        <f>VLOOKUP($B42&amp;"4",Data!$C:$G,5,FALSE)</f>
        <v>3.66</v>
      </c>
      <c r="U42" s="126">
        <f t="shared" si="56"/>
        <v>4.7434729811778997E-3</v>
      </c>
      <c r="W42" s="129">
        <f t="shared" si="57"/>
        <v>15.82</v>
      </c>
      <c r="X42" s="148">
        <f t="shared" si="58"/>
        <v>6.0787037037037035E-2</v>
      </c>
      <c r="Y42" s="126">
        <f t="shared" si="59"/>
        <v>3.8424170061338199E-3</v>
      </c>
      <c r="AA42" s="166">
        <f t="shared" si="52"/>
        <v>9</v>
      </c>
      <c r="AB42" s="166">
        <f>VLOOKUP(B42,'Team Selection'!$J$15:$L$50,3,FALSE)</f>
        <v>30</v>
      </c>
    </row>
    <row r="43" spans="1:28" x14ac:dyDescent="0.2">
      <c r="A43" s="4"/>
      <c r="B43" s="152" t="str">
        <f>+'Team Selection'!J7</f>
        <v>Chris Wade</v>
      </c>
      <c r="C43" s="123">
        <f>VLOOKUP($B43&amp;"1",Data!$C:$G,2,FALSE)</f>
        <v>3</v>
      </c>
      <c r="D43" s="124">
        <f>VLOOKUP($B43&amp;"1",Data!$C:$G,4,FALSE)</f>
        <v>1.0034722222222221E-2</v>
      </c>
      <c r="E43" s="125">
        <f>VLOOKUP($B43&amp;"1",Data!$C:$G,5,FALSE)</f>
        <v>3.39</v>
      </c>
      <c r="F43" s="126">
        <f t="shared" si="53"/>
        <v>2.9600950508030148E-3</v>
      </c>
      <c r="H43" s="123">
        <f>VLOOKUP($B43&amp;"2",Data!$C:$G,2,FALSE)</f>
        <v>7</v>
      </c>
      <c r="I43" s="124">
        <f>VLOOKUP($B43&amp;"2",Data!$C:$G,4,FALSE)</f>
        <v>7.9629629629629634E-3</v>
      </c>
      <c r="J43" s="125">
        <f>VLOOKUP($B43&amp;"2",Data!$C:$G,5,FALSE)</f>
        <v>3.2</v>
      </c>
      <c r="K43" s="126">
        <f t="shared" si="54"/>
        <v>2.488425925925926E-3</v>
      </c>
      <c r="M43" s="123">
        <f>VLOOKUP($B43&amp;"3",Data!$C:$G,2,FALSE)</f>
        <v>9</v>
      </c>
      <c r="N43" s="124">
        <f>VLOOKUP($B43&amp;"3",Data!$C:$G,4,FALSE)</f>
        <v>1.1793981481481482E-2</v>
      </c>
      <c r="O43" s="125">
        <f>VLOOKUP($B43&amp;"3",Data!$C:$G,5,FALSE)</f>
        <v>3.66</v>
      </c>
      <c r="P43" s="126">
        <f t="shared" si="55"/>
        <v>3.2223993118801861E-3</v>
      </c>
      <c r="R43" s="123">
        <f>VLOOKUP($B43&amp;"4",Data!$C:$G,2,FALSE)</f>
        <v>16</v>
      </c>
      <c r="S43" s="124">
        <f>VLOOKUP($B43&amp;"4",Data!$C:$G,4,FALSE)</f>
        <v>1.068287037037037E-2</v>
      </c>
      <c r="T43" s="125">
        <f>VLOOKUP($B43&amp;"4",Data!$C:$G,5,FALSE)</f>
        <v>3.66</v>
      </c>
      <c r="U43" s="126">
        <f t="shared" si="56"/>
        <v>2.9188170410848007E-3</v>
      </c>
      <c r="W43" s="129">
        <f t="shared" si="57"/>
        <v>13.91</v>
      </c>
      <c r="X43" s="148">
        <f t="shared" si="58"/>
        <v>4.0474537037037038E-2</v>
      </c>
      <c r="Y43" s="126">
        <f t="shared" si="59"/>
        <v>2.9097438560055384E-3</v>
      </c>
      <c r="AA43" s="166">
        <f t="shared" si="52"/>
        <v>4</v>
      </c>
      <c r="AB43" s="166">
        <f>VLOOKUP(B43,'Team Selection'!$J$15:$L$50,3,FALSE)</f>
        <v>33</v>
      </c>
    </row>
    <row r="44" spans="1:28" x14ac:dyDescent="0.2">
      <c r="A44" s="4"/>
      <c r="B44" s="152" t="str">
        <f>+'Team Selection'!J8</f>
        <v>Selim Ahmed</v>
      </c>
      <c r="C44" s="123">
        <f>VLOOKUP($B44&amp;"1",Data!$C:$G,2,FALSE)</f>
        <v>3</v>
      </c>
      <c r="D44" s="124">
        <f>VLOOKUP($B44&amp;"1",Data!$C:$G,4,FALSE)</f>
        <v>9.7106481481481471E-3</v>
      </c>
      <c r="E44" s="125">
        <f>VLOOKUP($B44&amp;"1",Data!$C:$G,5,FALSE)</f>
        <v>3.39</v>
      </c>
      <c r="F44" s="126">
        <f t="shared" si="53"/>
        <v>2.8644979788047631E-3</v>
      </c>
      <c r="H44" s="123">
        <f>VLOOKUP($B44&amp;"2",Data!$C:$G,2,FALSE)</f>
        <v>7</v>
      </c>
      <c r="I44" s="124">
        <f>VLOOKUP($B44&amp;"2",Data!$C:$G,4,FALSE)</f>
        <v>7.8703703703703713E-3</v>
      </c>
      <c r="J44" s="125">
        <f>VLOOKUP($B44&amp;"2",Data!$C:$G,5,FALSE)</f>
        <v>3.2</v>
      </c>
      <c r="K44" s="126">
        <f t="shared" si="54"/>
        <v>2.4594907407407408E-3</v>
      </c>
      <c r="M44" s="123">
        <f>VLOOKUP($B44&amp;"3",Data!$C:$G,2,FALSE)</f>
        <v>9</v>
      </c>
      <c r="N44" s="124">
        <f>VLOOKUP($B44&amp;"3",Data!$C:$G,4,FALSE)</f>
        <v>1.1157407407407408E-2</v>
      </c>
      <c r="O44" s="125">
        <f>VLOOKUP($B44&amp;"3",Data!$C:$G,5,FALSE)</f>
        <v>3.66</v>
      </c>
      <c r="P44" s="126">
        <f t="shared" si="55"/>
        <v>3.0484719692369963E-3</v>
      </c>
      <c r="R44" s="123">
        <f>VLOOKUP($B44&amp;"4",Data!$C:$G,2,FALSE)</f>
        <v>16</v>
      </c>
      <c r="S44" s="124">
        <f>VLOOKUP($B44&amp;"4",Data!$C:$G,4,FALSE)</f>
        <v>1.3958333333333335E-2</v>
      </c>
      <c r="T44" s="125">
        <f>VLOOKUP($B44&amp;"4",Data!$C:$G,5,FALSE)</f>
        <v>3.66</v>
      </c>
      <c r="U44" s="126">
        <f t="shared" si="56"/>
        <v>3.8137522768670312E-3</v>
      </c>
      <c r="W44" s="129">
        <f t="shared" si="57"/>
        <v>13.91</v>
      </c>
      <c r="X44" s="148">
        <f t="shared" si="58"/>
        <v>4.2696759259259261E-2</v>
      </c>
      <c r="Y44" s="126">
        <f t="shared" si="59"/>
        <v>3.0695010251085017E-3</v>
      </c>
      <c r="AA44" s="166">
        <f t="shared" si="52"/>
        <v>6</v>
      </c>
      <c r="AB44" s="166">
        <f>VLOOKUP(B44,'Team Selection'!$J$15:$L$50,3,FALSE)</f>
        <v>32</v>
      </c>
    </row>
    <row r="45" spans="1:28" x14ac:dyDescent="0.2">
      <c r="A45" s="4"/>
      <c r="B45" s="152" t="str">
        <f>+'Team Selection'!J9</f>
        <v>Dale Nardella</v>
      </c>
      <c r="C45" s="123">
        <f>VLOOKUP($B45&amp;"1",Data!$C:$G,2,FALSE)</f>
        <v>3</v>
      </c>
      <c r="D45" s="124">
        <f>VLOOKUP($B45&amp;"1",Data!$C:$G,4,FALSE)</f>
        <v>9.7916666666666655E-3</v>
      </c>
      <c r="E45" s="125">
        <f>VLOOKUP($B45&amp;"1",Data!$C:$G,5,FALSE)</f>
        <v>3.39</v>
      </c>
      <c r="F45" s="126">
        <f t="shared" si="53"/>
        <v>2.8883972468043261E-3</v>
      </c>
      <c r="H45" s="123">
        <f>VLOOKUP($B45&amp;"2",Data!$C:$G,2,FALSE)</f>
        <v>7</v>
      </c>
      <c r="I45" s="124">
        <f>VLOOKUP($B45&amp;"2",Data!$C:$G,4,FALSE)</f>
        <v>8.0555555555555554E-3</v>
      </c>
      <c r="J45" s="125">
        <f>VLOOKUP($B45&amp;"2",Data!$C:$G,5,FALSE)</f>
        <v>3.2</v>
      </c>
      <c r="K45" s="126">
        <f t="shared" si="54"/>
        <v>2.5173611111111108E-3</v>
      </c>
      <c r="M45" s="123">
        <f>VLOOKUP($B45&amp;"3",Data!$C:$G,2,FALSE)</f>
        <v>9</v>
      </c>
      <c r="N45" s="124">
        <f>VLOOKUP($B45&amp;"3",Data!$C:$G,4,FALSE)</f>
        <v>1.1238425925925928E-2</v>
      </c>
      <c r="O45" s="125">
        <f>VLOOKUP($B45&amp;"3",Data!$C:$G,5,FALSE)</f>
        <v>3.66</v>
      </c>
      <c r="P45" s="126">
        <f t="shared" si="55"/>
        <v>3.0706081764824938E-3</v>
      </c>
      <c r="R45" s="123">
        <f>VLOOKUP($B45&amp;"4",Data!$C:$G,2,FALSE)</f>
        <v>16</v>
      </c>
      <c r="S45" s="124">
        <f>VLOOKUP($B45&amp;"4",Data!$C:$G,4,FALSE)</f>
        <v>1.0138888888888888E-2</v>
      </c>
      <c r="T45" s="125">
        <f>VLOOKUP($B45&amp;"4",Data!$C:$G,5,FALSE)</f>
        <v>3.66</v>
      </c>
      <c r="U45" s="126">
        <f t="shared" si="56"/>
        <v>2.7701882210078928E-3</v>
      </c>
      <c r="W45" s="129">
        <f t="shared" si="57"/>
        <v>13.91</v>
      </c>
      <c r="X45" s="148">
        <f t="shared" si="58"/>
        <v>3.9224537037037044E-2</v>
      </c>
      <c r="Y45" s="126">
        <f t="shared" si="59"/>
        <v>2.8198804483851219E-3</v>
      </c>
      <c r="AA45" s="166">
        <f t="shared" si="52"/>
        <v>3</v>
      </c>
      <c r="AB45" s="166">
        <f>VLOOKUP(B45,'Team Selection'!$J$15:$L$50,3,FALSE)</f>
        <v>31</v>
      </c>
    </row>
    <row r="46" spans="1:28" x14ac:dyDescent="0.2">
      <c r="A46" s="4"/>
      <c r="B46" s="152" t="str">
        <f>+'Team Selection'!J10</f>
        <v>Janice De Vries</v>
      </c>
      <c r="C46" s="123">
        <f>VLOOKUP($B46&amp;"1",Data!$C:$G,2,FALSE)</f>
        <v>3</v>
      </c>
      <c r="D46" s="124">
        <f>VLOOKUP($B46&amp;"1",Data!$C:$G,4,FALSE)</f>
        <v>9.6874999999999999E-3</v>
      </c>
      <c r="E46" s="125">
        <f>VLOOKUP($B46&amp;"1",Data!$C:$G,5,FALSE)</f>
        <v>3.39</v>
      </c>
      <c r="F46" s="126">
        <f t="shared" si="53"/>
        <v>2.857669616519174E-3</v>
      </c>
      <c r="H46" s="123">
        <f>VLOOKUP($B46&amp;"2",Data!$C:$G,2,FALSE)</f>
        <v>7</v>
      </c>
      <c r="I46" s="124">
        <f>VLOOKUP($B46&amp;"2",Data!$C:$G,4,FALSE)</f>
        <v>7.69675925925926E-3</v>
      </c>
      <c r="J46" s="125">
        <f>VLOOKUP($B46&amp;"2",Data!$C:$G,5,FALSE)</f>
        <v>3.2</v>
      </c>
      <c r="K46" s="126">
        <f t="shared" si="54"/>
        <v>2.4052372685185188E-3</v>
      </c>
      <c r="M46" s="123">
        <f>VLOOKUP($B46&amp;"3",Data!$C:$G,2,FALSE)</f>
        <v>10</v>
      </c>
      <c r="N46" s="124">
        <f>VLOOKUP($B46&amp;"3",Data!$C:$G,4,FALSE)</f>
        <v>1.1076388888888887E-2</v>
      </c>
      <c r="O46" s="125">
        <f>VLOOKUP($B46&amp;"3",Data!$C:$G,5,FALSE)</f>
        <v>3.7</v>
      </c>
      <c r="P46" s="126">
        <f t="shared" si="55"/>
        <v>2.9936186186186181E-3</v>
      </c>
      <c r="R46" s="123">
        <f>VLOOKUP($B46&amp;"4",Data!$C:$G,2,FALSE)</f>
        <v>16</v>
      </c>
      <c r="S46" s="124">
        <f>VLOOKUP($B46&amp;"4",Data!$C:$G,4,FALSE)</f>
        <v>1.0671296296296297E-2</v>
      </c>
      <c r="T46" s="125">
        <f>VLOOKUP($B46&amp;"4",Data!$C:$G,5,FALSE)</f>
        <v>3.66</v>
      </c>
      <c r="U46" s="126">
        <f t="shared" si="56"/>
        <v>2.9156547257640155E-3</v>
      </c>
      <c r="W46" s="129">
        <f t="shared" si="57"/>
        <v>13.95</v>
      </c>
      <c r="X46" s="148">
        <f t="shared" si="58"/>
        <v>3.9131944444444441E-2</v>
      </c>
      <c r="Y46" s="126">
        <f t="shared" si="59"/>
        <v>2.80515730784548E-3</v>
      </c>
      <c r="AA46" s="166">
        <f t="shared" si="52"/>
        <v>2</v>
      </c>
      <c r="AB46" s="166">
        <f>VLOOKUP(B46,'Team Selection'!$J$15:$L$50,3,FALSE)</f>
        <v>27</v>
      </c>
    </row>
    <row r="47" spans="1:28" x14ac:dyDescent="0.2">
      <c r="A47" s="4"/>
      <c r="B47" s="152" t="str">
        <f>+'Team Selection'!J11</f>
        <v>Chris Osborne</v>
      </c>
      <c r="C47" s="157">
        <f>VLOOKUP($B47&amp;"1",Data!$C:$G,2,FALSE)</f>
        <v>3</v>
      </c>
      <c r="D47" s="158">
        <f>VLOOKUP($B47&amp;"1",Data!$C:$G,4,FALSE)</f>
        <v>9.7337962962962977E-3</v>
      </c>
      <c r="E47" s="159">
        <f>VLOOKUP($B47&amp;"1",Data!$C:$G,5,FALSE)</f>
        <v>3.39</v>
      </c>
      <c r="F47" s="160">
        <f t="shared" si="53"/>
        <v>2.871326341090353E-3</v>
      </c>
      <c r="H47" s="157">
        <f>VLOOKUP($B47&amp;"2",Data!$C:$G,2,FALSE)</f>
        <v>7</v>
      </c>
      <c r="I47" s="158">
        <f>VLOOKUP($B47&amp;"2",Data!$C:$G,4,FALSE)</f>
        <v>7.6041666666666662E-3</v>
      </c>
      <c r="J47" s="159">
        <f>VLOOKUP($B47&amp;"2",Data!$C:$G,5,FALSE)</f>
        <v>3.2</v>
      </c>
      <c r="K47" s="160">
        <f t="shared" si="54"/>
        <v>2.3763020833333331E-3</v>
      </c>
      <c r="M47" s="157">
        <f>VLOOKUP($B47&amp;"3",Data!$C:$G,2,FALSE)</f>
        <v>10</v>
      </c>
      <c r="N47" s="158">
        <f>VLOOKUP($B47&amp;"3",Data!$C:$G,4,FALSE)</f>
        <v>1.1284722222222222E-2</v>
      </c>
      <c r="O47" s="159">
        <f>VLOOKUP($B47&amp;"3",Data!$C:$G,5,FALSE)</f>
        <v>3.7</v>
      </c>
      <c r="P47" s="160">
        <f t="shared" si="55"/>
        <v>3.0499249249249247E-3</v>
      </c>
      <c r="R47" s="157">
        <f>VLOOKUP($B47&amp;"4",Data!$C:$G,2,FALSE)</f>
        <v>14</v>
      </c>
      <c r="S47" s="158">
        <f>VLOOKUP($B47&amp;"4",Data!$C:$G,4,FALSE)</f>
        <v>1.136574074074074E-2</v>
      </c>
      <c r="T47" s="159">
        <f>VLOOKUP($B47&amp;"4",Data!$C:$G,5,FALSE)</f>
        <v>4.21</v>
      </c>
      <c r="U47" s="160">
        <f t="shared" si="56"/>
        <v>2.6997008885369929E-3</v>
      </c>
      <c r="W47" s="161">
        <f t="shared" si="57"/>
        <v>14.5</v>
      </c>
      <c r="X47" s="162">
        <f t="shared" si="58"/>
        <v>3.9988425925925927E-2</v>
      </c>
      <c r="Y47" s="160">
        <f t="shared" si="59"/>
        <v>2.7578224776500641E-3</v>
      </c>
      <c r="AA47" s="166">
        <f t="shared" si="52"/>
        <v>1</v>
      </c>
      <c r="AB47" s="166">
        <f>VLOOKUP(B47,'Team Selection'!$J$15:$L$50,3,FALSE)</f>
        <v>29</v>
      </c>
    </row>
    <row r="48" spans="1:28" x14ac:dyDescent="0.2">
      <c r="C48" s="5"/>
      <c r="D48" s="10"/>
      <c r="E48" s="11"/>
      <c r="F48" s="10"/>
      <c r="G48" s="6"/>
      <c r="H48" s="5"/>
      <c r="I48" s="10"/>
      <c r="J48" s="11"/>
      <c r="K48" s="10"/>
      <c r="L48" s="6"/>
      <c r="M48" s="5"/>
      <c r="N48" s="10"/>
      <c r="O48" s="11"/>
      <c r="P48" s="10"/>
      <c r="Q48" s="6"/>
      <c r="R48" s="5"/>
      <c r="S48" s="10"/>
      <c r="T48" s="11"/>
      <c r="U48" s="10"/>
      <c r="X48" s="10"/>
      <c r="Y48" s="10"/>
    </row>
    <row r="54" spans="14:14" x14ac:dyDescent="0.2">
      <c r="N54" s="163"/>
    </row>
  </sheetData>
  <phoneticPr fontId="0" type="noConversion"/>
  <pageMargins left="0.44" right="0.59" top="1.01" bottom="1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45"/>
  <sheetViews>
    <sheetView zoomScale="85" zoomScaleNormal="85" workbookViewId="0"/>
  </sheetViews>
  <sheetFormatPr defaultRowHeight="12.75" x14ac:dyDescent="0.2"/>
  <cols>
    <col min="1" max="1" width="14" style="12" customWidth="1"/>
    <col min="2" max="2" width="9.140625" style="12"/>
    <col min="3" max="3" width="20" style="12" customWidth="1"/>
    <col min="4" max="4" width="9.140625" style="12"/>
    <col min="5" max="5" width="20.7109375" customWidth="1"/>
  </cols>
  <sheetData>
    <row r="1" spans="1:7" x14ac:dyDescent="0.2">
      <c r="A1" s="12" t="s">
        <v>45</v>
      </c>
      <c r="B1" s="12" t="s">
        <v>0</v>
      </c>
      <c r="D1" s="12" t="s">
        <v>11</v>
      </c>
      <c r="E1" s="12" t="s">
        <v>37</v>
      </c>
      <c r="F1" s="12" t="s">
        <v>7</v>
      </c>
      <c r="G1" s="12" t="s">
        <v>38</v>
      </c>
    </row>
    <row r="2" spans="1:7" x14ac:dyDescent="0.2">
      <c r="A2" s="12">
        <f>COUNTIF(E$2:E2,E2)</f>
        <v>1</v>
      </c>
      <c r="B2" s="12">
        <v>1</v>
      </c>
      <c r="C2" s="12" t="str">
        <f>E2&amp;A2</f>
        <v>Garth Calder1</v>
      </c>
      <c r="D2" s="12">
        <v>1</v>
      </c>
      <c r="E2" t="str">
        <f>+'Stage Entry'!H4</f>
        <v>Garth Calder</v>
      </c>
      <c r="F2" s="116">
        <f>+'Stage Entry'!I4</f>
        <v>9.0856481481481483E-3</v>
      </c>
      <c r="G2" s="13">
        <f t="shared" ref="G2:G37" si="0">+Dist1</f>
        <v>3.39</v>
      </c>
    </row>
    <row r="3" spans="1:7" x14ac:dyDescent="0.2">
      <c r="A3" s="12">
        <f>COUNTIF(E$2:E3,E3)</f>
        <v>1</v>
      </c>
      <c r="B3" s="12">
        <v>2</v>
      </c>
      <c r="C3" s="12" t="str">
        <f t="shared" ref="C3:C57" si="1">E3&amp;A3</f>
        <v>Clem Scott1</v>
      </c>
      <c r="D3" s="12">
        <v>1</v>
      </c>
      <c r="E3" t="str">
        <f>+'Stage Entry'!H5</f>
        <v>Clem Scott</v>
      </c>
      <c r="F3" s="116">
        <f>+'Stage Entry'!I5</f>
        <v>8.9120370370370378E-3</v>
      </c>
      <c r="G3" s="13">
        <f t="shared" si="0"/>
        <v>3.39</v>
      </c>
    </row>
    <row r="4" spans="1:7" x14ac:dyDescent="0.2">
      <c r="A4" s="12">
        <f>COUNTIF(E$2:E4,E4)</f>
        <v>1</v>
      </c>
      <c r="B4" s="12">
        <v>3</v>
      </c>
      <c r="C4" s="12" t="str">
        <f t="shared" si="1"/>
        <v>Shane Fielding1</v>
      </c>
      <c r="D4" s="12">
        <v>1</v>
      </c>
      <c r="E4" t="str">
        <f>+'Stage Entry'!H6</f>
        <v>Shane Fielding</v>
      </c>
      <c r="F4" s="116">
        <f>+'Stage Entry'!I6</f>
        <v>9.1435185185185178E-3</v>
      </c>
      <c r="G4" s="13">
        <f t="shared" si="0"/>
        <v>3.39</v>
      </c>
    </row>
    <row r="5" spans="1:7" x14ac:dyDescent="0.2">
      <c r="A5" s="12">
        <f>COUNTIF(E$2:E5,E5)</f>
        <v>1</v>
      </c>
      <c r="B5" s="12">
        <v>4</v>
      </c>
      <c r="C5" s="12" t="str">
        <f t="shared" si="1"/>
        <v>Stephen Paine1</v>
      </c>
      <c r="D5" s="12">
        <v>1</v>
      </c>
      <c r="E5" t="str">
        <f>+'Stage Entry'!H7</f>
        <v>Stephen Paine</v>
      </c>
      <c r="F5" s="116">
        <f>+'Stage Entry'!I7</f>
        <v>8.9814814814814809E-3</v>
      </c>
      <c r="G5" s="13">
        <f t="shared" si="0"/>
        <v>3.39</v>
      </c>
    </row>
    <row r="6" spans="1:7" x14ac:dyDescent="0.2">
      <c r="A6" s="12">
        <f>COUNTIF(E$2:E6,E6)</f>
        <v>1</v>
      </c>
      <c r="B6" s="12">
        <v>5</v>
      </c>
      <c r="C6" s="12" t="str">
        <f t="shared" si="1"/>
        <v>Peter Larsen1</v>
      </c>
      <c r="D6" s="12">
        <v>1</v>
      </c>
      <c r="E6" t="str">
        <f>+'Stage Entry'!H8</f>
        <v>Peter Larsen</v>
      </c>
      <c r="F6" s="116">
        <f>+'Stage Entry'!I8</f>
        <v>9.0393518518518522E-3</v>
      </c>
      <c r="G6" s="13">
        <f t="shared" si="0"/>
        <v>3.39</v>
      </c>
    </row>
    <row r="7" spans="1:7" x14ac:dyDescent="0.2">
      <c r="A7" s="12">
        <f>COUNTIF(E$2:E7,E7)</f>
        <v>1</v>
      </c>
      <c r="B7" s="12">
        <v>6</v>
      </c>
      <c r="C7" s="12" t="str">
        <f t="shared" si="1"/>
        <v>Tony Hally1</v>
      </c>
      <c r="D7" s="12">
        <v>1</v>
      </c>
      <c r="E7" t="str">
        <f>+'Stage Entry'!H9</f>
        <v>Tony Hally</v>
      </c>
      <c r="F7" s="116">
        <f>+'Stage Entry'!I9</f>
        <v>1.0069444444444445E-2</v>
      </c>
      <c r="G7" s="13">
        <f t="shared" si="0"/>
        <v>3.39</v>
      </c>
    </row>
    <row r="8" spans="1:7" x14ac:dyDescent="0.2">
      <c r="A8" s="12">
        <f>COUNTIF(E$2:E8,E8)</f>
        <v>1</v>
      </c>
      <c r="B8" s="12">
        <v>7</v>
      </c>
      <c r="C8" s="12" t="str">
        <f t="shared" si="1"/>
        <v>Mark Symes1</v>
      </c>
      <c r="D8" s="12">
        <v>1</v>
      </c>
      <c r="E8" t="str">
        <f>+'Stage Entry'!H10</f>
        <v>Mark Symes</v>
      </c>
      <c r="F8" s="116">
        <f>+'Stage Entry'!I10</f>
        <v>9.2129629629629627E-3</v>
      </c>
      <c r="G8" s="13">
        <f t="shared" si="0"/>
        <v>3.39</v>
      </c>
    </row>
    <row r="9" spans="1:7" x14ac:dyDescent="0.2">
      <c r="A9" s="12">
        <f>COUNTIF(E$2:E9,E9)</f>
        <v>1</v>
      </c>
      <c r="B9" s="12">
        <v>8</v>
      </c>
      <c r="C9" s="12" t="str">
        <f t="shared" si="1"/>
        <v>Alex Kimp1</v>
      </c>
      <c r="D9" s="12">
        <v>1</v>
      </c>
      <c r="E9" t="str">
        <f>+'Stage Entry'!H11</f>
        <v>Alex Kimp</v>
      </c>
      <c r="F9" s="116">
        <f>+'Stage Entry'!I11</f>
        <v>9.1319444444444443E-3</v>
      </c>
      <c r="G9" s="13">
        <f t="shared" si="0"/>
        <v>3.39</v>
      </c>
    </row>
    <row r="10" spans="1:7" x14ac:dyDescent="0.2">
      <c r="A10" s="12">
        <f>COUNTIF(E$2:E10,E10)</f>
        <v>1</v>
      </c>
      <c r="B10" s="12">
        <v>9</v>
      </c>
      <c r="C10" s="12" t="str">
        <f t="shared" si="1"/>
        <v>Simon Moore1</v>
      </c>
      <c r="D10" s="12">
        <v>1</v>
      </c>
      <c r="E10" t="str">
        <f>+'Stage Entry'!H12</f>
        <v>Simon Moore</v>
      </c>
      <c r="F10" s="116">
        <f>+'Stage Entry'!I12</f>
        <v>1.0011574074074074E-2</v>
      </c>
      <c r="G10" s="13">
        <f t="shared" si="0"/>
        <v>3.39</v>
      </c>
    </row>
    <row r="11" spans="1:7" x14ac:dyDescent="0.2">
      <c r="A11" s="12">
        <f>COUNTIF(E$2:E11,E11)</f>
        <v>1</v>
      </c>
      <c r="B11" s="12">
        <v>1</v>
      </c>
      <c r="C11" s="12" t="str">
        <f t="shared" si="1"/>
        <v>Katie Seibold1</v>
      </c>
      <c r="D11" s="12">
        <v>2</v>
      </c>
      <c r="E11" t="str">
        <f>+'Stage Entry'!M4</f>
        <v>Katie Seibold</v>
      </c>
      <c r="F11" s="116">
        <f>+'Stage Entry'!N4</f>
        <v>1.005787037037037E-2</v>
      </c>
      <c r="G11" s="13">
        <f t="shared" si="0"/>
        <v>3.39</v>
      </c>
    </row>
    <row r="12" spans="1:7" x14ac:dyDescent="0.2">
      <c r="A12" s="12">
        <f>COUNTIF(E$2:E12,E12)</f>
        <v>1</v>
      </c>
      <c r="B12" s="12">
        <v>2</v>
      </c>
      <c r="C12" s="12" t="str">
        <f t="shared" si="1"/>
        <v>Dan Langelaan1</v>
      </c>
      <c r="D12" s="12">
        <v>2</v>
      </c>
      <c r="E12" t="str">
        <f>+'Stage Entry'!M5</f>
        <v>Dan Langelaan</v>
      </c>
      <c r="F12" s="116">
        <f>+'Stage Entry'!N5</f>
        <v>9.1782407407407403E-3</v>
      </c>
      <c r="G12" s="13">
        <f t="shared" si="0"/>
        <v>3.39</v>
      </c>
    </row>
    <row r="13" spans="1:7" x14ac:dyDescent="0.2">
      <c r="A13" s="12">
        <f>COUNTIF(E$2:E13,E13)</f>
        <v>1</v>
      </c>
      <c r="B13" s="12">
        <v>3</v>
      </c>
      <c r="C13" s="12" t="str">
        <f t="shared" si="1"/>
        <v>Joe Vaughan1</v>
      </c>
      <c r="D13" s="12">
        <v>2</v>
      </c>
      <c r="E13" t="str">
        <f>+'Stage Entry'!M6</f>
        <v>Joe Vaughan</v>
      </c>
      <c r="F13" s="116">
        <f>+'Stage Entry'!N6</f>
        <v>9.2939814814814812E-3</v>
      </c>
      <c r="G13" s="13">
        <f t="shared" si="0"/>
        <v>3.39</v>
      </c>
    </row>
    <row r="14" spans="1:7" x14ac:dyDescent="0.2">
      <c r="A14" s="12">
        <f>COUNTIF(E$2:E14,E14)</f>
        <v>1</v>
      </c>
      <c r="B14" s="12">
        <v>4</v>
      </c>
      <c r="C14" s="12" t="str">
        <f t="shared" si="1"/>
        <v>Glenn Carroll1</v>
      </c>
      <c r="D14" s="12">
        <v>2</v>
      </c>
      <c r="E14" t="str">
        <f>+'Stage Entry'!M7</f>
        <v>Glenn Carroll</v>
      </c>
      <c r="F14" s="116">
        <f>+'Stage Entry'!N7</f>
        <v>9.3981481481481485E-3</v>
      </c>
      <c r="G14" s="13">
        <f t="shared" si="0"/>
        <v>3.39</v>
      </c>
    </row>
    <row r="15" spans="1:7" x14ac:dyDescent="0.2">
      <c r="A15" s="12">
        <f>COUNTIF(E$2:E15,E15)</f>
        <v>1</v>
      </c>
      <c r="B15" s="12">
        <v>5</v>
      </c>
      <c r="C15" s="12" t="str">
        <f t="shared" si="1"/>
        <v>Ewen Vowels1</v>
      </c>
      <c r="D15" s="12">
        <v>2</v>
      </c>
      <c r="E15" t="str">
        <f>+'Stage Entry'!M8</f>
        <v>Ewen Vowels</v>
      </c>
      <c r="F15" s="116">
        <f>+'Stage Entry'!N8</f>
        <v>9.9189814814814817E-3</v>
      </c>
      <c r="G15" s="13">
        <f t="shared" si="0"/>
        <v>3.39</v>
      </c>
    </row>
    <row r="16" spans="1:7" x14ac:dyDescent="0.2">
      <c r="A16" s="12">
        <f>COUNTIF(E$2:E16,E16)</f>
        <v>1</v>
      </c>
      <c r="B16" s="12">
        <v>6</v>
      </c>
      <c r="C16" s="12" t="str">
        <f t="shared" si="1"/>
        <v>Anthony Mithen1</v>
      </c>
      <c r="D16" s="12">
        <v>2</v>
      </c>
      <c r="E16" t="str">
        <f>+'Stage Entry'!M9</f>
        <v>Anthony Mithen</v>
      </c>
      <c r="F16" s="116">
        <f>+'Stage Entry'!N9</f>
        <v>9.0740740740740729E-3</v>
      </c>
      <c r="G16" s="13">
        <f t="shared" si="0"/>
        <v>3.39</v>
      </c>
    </row>
    <row r="17" spans="1:7" x14ac:dyDescent="0.2">
      <c r="A17" s="12">
        <f>COUNTIF(E$2:E17,E17)</f>
        <v>1</v>
      </c>
      <c r="B17" s="12">
        <v>7</v>
      </c>
      <c r="C17" s="12" t="str">
        <f t="shared" si="1"/>
        <v>Bruce Arthur1</v>
      </c>
      <c r="D17" s="12">
        <v>2</v>
      </c>
      <c r="E17" t="str">
        <f>+'Stage Entry'!M10</f>
        <v>Bruce Arthur</v>
      </c>
      <c r="F17" s="116">
        <f>+'Stage Entry'!N10</f>
        <v>9.0972222222222218E-3</v>
      </c>
      <c r="G17" s="13">
        <f t="shared" si="0"/>
        <v>3.39</v>
      </c>
    </row>
    <row r="18" spans="1:7" x14ac:dyDescent="0.2">
      <c r="A18" s="12">
        <f>COUNTIF(E$2:E18,E18)</f>
        <v>1</v>
      </c>
      <c r="B18" s="12">
        <v>8</v>
      </c>
      <c r="C18" s="12" t="str">
        <f t="shared" si="1"/>
        <v>Greg Roche1</v>
      </c>
      <c r="D18" s="12">
        <v>2</v>
      </c>
      <c r="E18" t="str">
        <f>+'Stage Entry'!M11</f>
        <v>Greg Roche</v>
      </c>
      <c r="F18" s="116">
        <f>+'Stage Entry'!N11</f>
        <v>9.7106481481481471E-3</v>
      </c>
      <c r="G18" s="13">
        <f t="shared" si="0"/>
        <v>3.39</v>
      </c>
    </row>
    <row r="19" spans="1:7" x14ac:dyDescent="0.2">
      <c r="A19" s="12">
        <f>COUNTIF(E$2:E19,E19)</f>
        <v>1</v>
      </c>
      <c r="B19" s="12">
        <v>9</v>
      </c>
      <c r="C19" s="12" t="str">
        <f t="shared" si="1"/>
        <v>Andrew Compson1</v>
      </c>
      <c r="D19" s="12">
        <v>2</v>
      </c>
      <c r="E19" t="str">
        <f>+'Stage Entry'!M12</f>
        <v>Andrew Compson</v>
      </c>
      <c r="F19" s="116">
        <f>+'Stage Entry'!N12</f>
        <v>9.1087962962962971E-3</v>
      </c>
      <c r="G19" s="13">
        <f t="shared" si="0"/>
        <v>3.39</v>
      </c>
    </row>
    <row r="20" spans="1:7" x14ac:dyDescent="0.2">
      <c r="A20" s="12">
        <f>COUNTIF(E$2:E20,E20)</f>
        <v>1</v>
      </c>
      <c r="B20" s="12">
        <v>1</v>
      </c>
      <c r="C20" s="12" t="str">
        <f t="shared" si="1"/>
        <v>Matt Clark1</v>
      </c>
      <c r="D20" s="12">
        <v>3</v>
      </c>
      <c r="E20" t="str">
        <f>+'Stage Entry'!R4</f>
        <v>Matt Clark</v>
      </c>
      <c r="F20" s="116">
        <f>+'Stage Entry'!S4</f>
        <v>1.0798611111111111E-2</v>
      </c>
      <c r="G20" s="13">
        <f t="shared" si="0"/>
        <v>3.39</v>
      </c>
    </row>
    <row r="21" spans="1:7" x14ac:dyDescent="0.2">
      <c r="A21" s="12">
        <f>COUNTIF(E$2:E21,E21)</f>
        <v>1</v>
      </c>
      <c r="B21" s="12">
        <v>2</v>
      </c>
      <c r="C21" s="12" t="str">
        <f t="shared" si="1"/>
        <v>Elisa Mooren1</v>
      </c>
      <c r="D21" s="12">
        <v>3</v>
      </c>
      <c r="E21" t="str">
        <f>+'Stage Entry'!R5</f>
        <v>Elisa Mooren</v>
      </c>
      <c r="F21" s="116">
        <f>+'Stage Entry'!S5</f>
        <v>1.1238425925925928E-2</v>
      </c>
      <c r="G21" s="13">
        <f t="shared" si="0"/>
        <v>3.39</v>
      </c>
    </row>
    <row r="22" spans="1:7" x14ac:dyDescent="0.2">
      <c r="A22" s="12">
        <f>COUNTIF(E$2:E22,E22)</f>
        <v>1</v>
      </c>
      <c r="B22" s="12">
        <v>3</v>
      </c>
      <c r="C22" s="12" t="str">
        <f t="shared" si="1"/>
        <v>Nick Tobin1</v>
      </c>
      <c r="D22" s="12">
        <v>3</v>
      </c>
      <c r="E22" t="str">
        <f>+'Stage Entry'!R6</f>
        <v>Nick Tobin</v>
      </c>
      <c r="F22" s="116">
        <f>+'Stage Entry'!S6</f>
        <v>1.0173611111111111E-2</v>
      </c>
      <c r="G22" s="13">
        <f t="shared" si="0"/>
        <v>3.39</v>
      </c>
    </row>
    <row r="23" spans="1:7" x14ac:dyDescent="0.2">
      <c r="A23" s="12">
        <f>COUNTIF(E$2:E23,E23)</f>
        <v>1</v>
      </c>
      <c r="B23" s="12">
        <v>4</v>
      </c>
      <c r="C23" s="12" t="str">
        <f t="shared" si="1"/>
        <v>James Chiriano1</v>
      </c>
      <c r="D23" s="12">
        <v>3</v>
      </c>
      <c r="E23" t="str">
        <f>+'Stage Entry'!R7</f>
        <v>James Chiriano</v>
      </c>
      <c r="F23" s="116">
        <f>+'Stage Entry'!S7</f>
        <v>1.0254629629629629E-2</v>
      </c>
      <c r="G23" s="13">
        <f t="shared" si="0"/>
        <v>3.39</v>
      </c>
    </row>
    <row r="24" spans="1:7" x14ac:dyDescent="0.2">
      <c r="A24" s="12">
        <f>COUNTIF(E$2:E24,E24)</f>
        <v>1</v>
      </c>
      <c r="B24" s="12">
        <v>5</v>
      </c>
      <c r="C24" s="12" t="str">
        <f t="shared" si="1"/>
        <v>Chris Wade1</v>
      </c>
      <c r="D24" s="12">
        <v>3</v>
      </c>
      <c r="E24" t="str">
        <f>+'Stage Entry'!R8</f>
        <v>Chris Wade</v>
      </c>
      <c r="F24" s="116">
        <f>+'Stage Entry'!S8</f>
        <v>1.0034722222222221E-2</v>
      </c>
      <c r="G24" s="13">
        <f t="shared" si="0"/>
        <v>3.39</v>
      </c>
    </row>
    <row r="25" spans="1:7" x14ac:dyDescent="0.2">
      <c r="A25" s="12">
        <f>COUNTIF(E$2:E25,E25)</f>
        <v>1</v>
      </c>
      <c r="B25" s="12">
        <v>6</v>
      </c>
      <c r="C25" s="12" t="str">
        <f t="shared" si="1"/>
        <v>Selim Ahmed1</v>
      </c>
      <c r="D25" s="12">
        <v>3</v>
      </c>
      <c r="E25" t="str">
        <f>+'Stage Entry'!R9</f>
        <v>Selim Ahmed</v>
      </c>
      <c r="F25" s="116">
        <f>+'Stage Entry'!S9</f>
        <v>9.7106481481481471E-3</v>
      </c>
      <c r="G25" s="13">
        <f t="shared" si="0"/>
        <v>3.39</v>
      </c>
    </row>
    <row r="26" spans="1:7" x14ac:dyDescent="0.2">
      <c r="A26" s="12">
        <f>COUNTIF(E$2:E26,E26)</f>
        <v>1</v>
      </c>
      <c r="B26" s="12">
        <v>7</v>
      </c>
      <c r="C26" s="12" t="str">
        <f t="shared" si="1"/>
        <v>Dale Nardella1</v>
      </c>
      <c r="D26" s="12">
        <v>3</v>
      </c>
      <c r="E26" t="str">
        <f>+'Stage Entry'!R10</f>
        <v>Dale Nardella</v>
      </c>
      <c r="F26" s="116">
        <f>+'Stage Entry'!S10</f>
        <v>9.7916666666666655E-3</v>
      </c>
      <c r="G26" s="13">
        <f t="shared" si="0"/>
        <v>3.39</v>
      </c>
    </row>
    <row r="27" spans="1:7" x14ac:dyDescent="0.2">
      <c r="A27" s="12">
        <f>COUNTIF(E$2:E27,E27)</f>
        <v>1</v>
      </c>
      <c r="B27" s="12">
        <v>8</v>
      </c>
      <c r="C27" s="12" t="str">
        <f t="shared" si="1"/>
        <v>Janice De Vries1</v>
      </c>
      <c r="D27" s="12">
        <v>3</v>
      </c>
      <c r="E27" t="str">
        <f>+'Stage Entry'!R11</f>
        <v>Janice De Vries</v>
      </c>
      <c r="F27" s="116">
        <f>+'Stage Entry'!S11</f>
        <v>9.6874999999999999E-3</v>
      </c>
      <c r="G27" s="13">
        <f t="shared" si="0"/>
        <v>3.39</v>
      </c>
    </row>
    <row r="28" spans="1:7" x14ac:dyDescent="0.2">
      <c r="A28" s="12">
        <f>COUNTIF(E$2:E28,E28)</f>
        <v>1</v>
      </c>
      <c r="B28" s="12">
        <v>9</v>
      </c>
      <c r="C28" s="12" t="str">
        <f t="shared" si="1"/>
        <v>Chris Osborne1</v>
      </c>
      <c r="D28" s="12">
        <v>3</v>
      </c>
      <c r="E28" t="str">
        <f>+'Stage Entry'!R12</f>
        <v>Chris Osborne</v>
      </c>
      <c r="F28" s="116">
        <f>+'Stage Entry'!S12</f>
        <v>9.7337962962962977E-3</v>
      </c>
      <c r="G28" s="13">
        <f t="shared" si="0"/>
        <v>3.39</v>
      </c>
    </row>
    <row r="29" spans="1:7" x14ac:dyDescent="0.2">
      <c r="A29" s="12">
        <f>COUNTIF(E$2:E29,E29)</f>
        <v>1</v>
      </c>
      <c r="B29" s="12">
        <v>1</v>
      </c>
      <c r="C29" s="12" t="str">
        <f t="shared" si="1"/>
        <v>Simon Bevege1</v>
      </c>
      <c r="D29" s="12">
        <v>4</v>
      </c>
      <c r="E29" t="str">
        <f>+'Stage Entry'!W4</f>
        <v>Simon Bevege</v>
      </c>
      <c r="F29" s="116">
        <f>+'Stage Entry'!X4</f>
        <v>7.789351851851852E-3</v>
      </c>
      <c r="G29" s="13">
        <f t="shared" si="0"/>
        <v>3.39</v>
      </c>
    </row>
    <row r="30" spans="1:7" x14ac:dyDescent="0.2">
      <c r="A30" s="12">
        <f>COUNTIF(E$2:E30,E30)</f>
        <v>1</v>
      </c>
      <c r="B30" s="12">
        <v>2</v>
      </c>
      <c r="C30" s="12" t="str">
        <f t="shared" si="1"/>
        <v>Andrew Coles1</v>
      </c>
      <c r="D30" s="12">
        <v>4</v>
      </c>
      <c r="E30" t="str">
        <f>+'Stage Entry'!W5</f>
        <v>Andrew Coles</v>
      </c>
      <c r="F30" s="116">
        <f>+'Stage Entry'!X5</f>
        <v>8.6689814814814806E-3</v>
      </c>
      <c r="G30" s="13">
        <f t="shared" si="0"/>
        <v>3.39</v>
      </c>
    </row>
    <row r="31" spans="1:7" x14ac:dyDescent="0.2">
      <c r="A31" s="12">
        <f>COUNTIF(E$2:E31,E31)</f>
        <v>1</v>
      </c>
      <c r="B31" s="12">
        <v>3</v>
      </c>
      <c r="C31" s="12" t="str">
        <f t="shared" si="1"/>
        <v>Stevie Williams1</v>
      </c>
      <c r="D31" s="12">
        <v>4</v>
      </c>
      <c r="E31" t="str">
        <f>+'Stage Entry'!W6</f>
        <v>Stevie Williams</v>
      </c>
      <c r="F31" s="116">
        <f>+'Stage Entry'!X6</f>
        <v>8.4143518518518517E-3</v>
      </c>
      <c r="G31" s="13">
        <f t="shared" si="0"/>
        <v>3.39</v>
      </c>
    </row>
    <row r="32" spans="1:7" x14ac:dyDescent="0.2">
      <c r="A32" s="12">
        <f>COUNTIF(E$2:E32,E32)</f>
        <v>1</v>
      </c>
      <c r="B32" s="12">
        <v>4</v>
      </c>
      <c r="C32" s="12" t="str">
        <f t="shared" si="1"/>
        <v>Dave Munro1</v>
      </c>
      <c r="D32" s="12">
        <v>4</v>
      </c>
      <c r="E32" t="str">
        <f>+'Stage Entry'!W7</f>
        <v>Dave Munro</v>
      </c>
      <c r="F32" s="116">
        <f>+'Stage Entry'!X7</f>
        <v>9.7106481481481471E-3</v>
      </c>
      <c r="G32" s="13">
        <f t="shared" si="0"/>
        <v>3.39</v>
      </c>
    </row>
    <row r="33" spans="1:7" x14ac:dyDescent="0.2">
      <c r="A33" s="12">
        <f>COUNTIF(E$2:E33,E33)</f>
        <v>1</v>
      </c>
      <c r="B33" s="12">
        <v>5</v>
      </c>
      <c r="C33" s="12" t="str">
        <f t="shared" si="1"/>
        <v>David Alcock1</v>
      </c>
      <c r="D33" s="12">
        <v>4</v>
      </c>
      <c r="E33" t="str">
        <f>+'Stage Entry'!W8</f>
        <v>David Alcock</v>
      </c>
      <c r="F33" s="116">
        <f>+'Stage Entry'!X8</f>
        <v>8.9351851851851866E-3</v>
      </c>
      <c r="G33" s="13">
        <f t="shared" si="0"/>
        <v>3.39</v>
      </c>
    </row>
    <row r="34" spans="1:7" x14ac:dyDescent="0.2">
      <c r="A34" s="12">
        <f>COUNTIF(E$2:E34,E34)</f>
        <v>1</v>
      </c>
      <c r="B34" s="12">
        <v>6</v>
      </c>
      <c r="C34" s="12" t="str">
        <f t="shared" si="1"/>
        <v>David Hartley1</v>
      </c>
      <c r="D34" s="12">
        <v>4</v>
      </c>
      <c r="E34" t="str">
        <f>+'Stage Entry'!W9</f>
        <v>David Hartley</v>
      </c>
      <c r="F34" s="116">
        <f>+'Stage Entry'!X9</f>
        <v>9.0972222222222218E-3</v>
      </c>
      <c r="G34" s="13">
        <f t="shared" si="0"/>
        <v>3.39</v>
      </c>
    </row>
    <row r="35" spans="1:7" x14ac:dyDescent="0.2">
      <c r="A35" s="12">
        <f>COUNTIF(E$2:E35,E35)</f>
        <v>1</v>
      </c>
      <c r="B35" s="12">
        <v>7</v>
      </c>
      <c r="C35" s="12" t="str">
        <f t="shared" si="1"/>
        <v>Simon Tu1</v>
      </c>
      <c r="D35" s="12">
        <v>4</v>
      </c>
      <c r="E35" t="str">
        <f>+'Stage Entry'!W10</f>
        <v>Simon Tu</v>
      </c>
      <c r="F35" s="116">
        <f>+'Stage Entry'!X10</f>
        <v>8.8888888888888889E-3</v>
      </c>
      <c r="G35" s="13">
        <f t="shared" si="0"/>
        <v>3.39</v>
      </c>
    </row>
    <row r="36" spans="1:7" x14ac:dyDescent="0.2">
      <c r="A36" s="12">
        <f>COUNTIF(E$2:E36,E36)</f>
        <v>1</v>
      </c>
      <c r="B36" s="12">
        <v>8</v>
      </c>
      <c r="C36" s="12" t="str">
        <f t="shared" si="1"/>
        <v>Richard Does1</v>
      </c>
      <c r="D36" s="12">
        <v>4</v>
      </c>
      <c r="E36" t="str">
        <f>+'Stage Entry'!W11</f>
        <v>Richard Does</v>
      </c>
      <c r="F36" s="116">
        <f>+'Stage Entry'!X11</f>
        <v>8.9351851851851866E-3</v>
      </c>
      <c r="G36" s="13">
        <f t="shared" si="0"/>
        <v>3.39</v>
      </c>
    </row>
    <row r="37" spans="1:7" x14ac:dyDescent="0.2">
      <c r="A37" s="12">
        <f>COUNTIF(E$2:E37,E37)</f>
        <v>1</v>
      </c>
      <c r="B37" s="12">
        <v>9</v>
      </c>
      <c r="C37" s="12" t="str">
        <f t="shared" si="1"/>
        <v>Rob Dalton1</v>
      </c>
      <c r="D37" s="12">
        <v>4</v>
      </c>
      <c r="E37" t="str">
        <f>+'Stage Entry'!W12</f>
        <v>Rob Dalton</v>
      </c>
      <c r="F37" s="116">
        <f>+'Stage Entry'!X12</f>
        <v>8.9351851851851866E-3</v>
      </c>
      <c r="G37" s="13">
        <f t="shared" si="0"/>
        <v>3.39</v>
      </c>
    </row>
    <row r="38" spans="1:7" x14ac:dyDescent="0.2">
      <c r="A38" s="12">
        <f>COUNTIF(E$2:E38,E38)</f>
        <v>2</v>
      </c>
      <c r="B38" s="12">
        <v>1</v>
      </c>
      <c r="C38" s="12" t="str">
        <f t="shared" si="1"/>
        <v>Garth Calder2</v>
      </c>
      <c r="D38" s="12">
        <v>5</v>
      </c>
      <c r="E38" t="str">
        <f>+'Stage Entry'!AB4</f>
        <v>Garth Calder</v>
      </c>
      <c r="F38" s="116">
        <f>+'Stage Entry'!AC4</f>
        <v>1.1944444444444445E-2</v>
      </c>
      <c r="G38" s="13">
        <f t="shared" ref="G38:G46" si="2">Dist4</f>
        <v>4</v>
      </c>
    </row>
    <row r="39" spans="1:7" x14ac:dyDescent="0.2">
      <c r="A39" s="12">
        <f>COUNTIF(E$2:E39,E39)</f>
        <v>2</v>
      </c>
      <c r="B39" s="12">
        <v>2</v>
      </c>
      <c r="C39" s="12" t="str">
        <f t="shared" si="1"/>
        <v>Clem Scott2</v>
      </c>
      <c r="D39" s="12">
        <v>5</v>
      </c>
      <c r="E39" t="str">
        <f>+'Stage Entry'!AB5</f>
        <v>Clem Scott</v>
      </c>
      <c r="F39" s="116">
        <f>+'Stage Entry'!AC5</f>
        <v>1.1412037037037038E-2</v>
      </c>
      <c r="G39" s="13">
        <f t="shared" si="2"/>
        <v>4</v>
      </c>
    </row>
    <row r="40" spans="1:7" x14ac:dyDescent="0.2">
      <c r="A40" s="12">
        <f>COUNTIF(E$2:E40,E40)</f>
        <v>2</v>
      </c>
      <c r="B40" s="12">
        <v>3</v>
      </c>
      <c r="C40" s="12" t="str">
        <f t="shared" si="1"/>
        <v>Shane Fielding2</v>
      </c>
      <c r="D40" s="12">
        <v>5</v>
      </c>
      <c r="E40" t="str">
        <f>+'Stage Entry'!AB6</f>
        <v>Shane Fielding</v>
      </c>
      <c r="F40" s="116">
        <f>+'Stage Entry'!AC6</f>
        <v>1.1944444444444445E-2</v>
      </c>
      <c r="G40" s="13">
        <f t="shared" si="2"/>
        <v>4</v>
      </c>
    </row>
    <row r="41" spans="1:7" x14ac:dyDescent="0.2">
      <c r="A41" s="12">
        <f>COUNTIF(E$2:E41,E41)</f>
        <v>2</v>
      </c>
      <c r="B41" s="12">
        <v>4</v>
      </c>
      <c r="C41" s="12" t="str">
        <f t="shared" si="1"/>
        <v>Stephen Paine2</v>
      </c>
      <c r="D41" s="12">
        <v>5</v>
      </c>
      <c r="E41" t="str">
        <f>+'Stage Entry'!AB7</f>
        <v>Stephen Paine</v>
      </c>
      <c r="F41" s="116">
        <f>+'Stage Entry'!AC7</f>
        <v>1.1736111111111109E-2</v>
      </c>
      <c r="G41" s="13">
        <f t="shared" si="2"/>
        <v>4</v>
      </c>
    </row>
    <row r="42" spans="1:7" x14ac:dyDescent="0.2">
      <c r="A42" s="12">
        <f>COUNTIF(E$2:E42,E42)</f>
        <v>2</v>
      </c>
      <c r="B42" s="12">
        <v>5</v>
      </c>
      <c r="C42" s="12" t="str">
        <f t="shared" si="1"/>
        <v>Peter Larsen2</v>
      </c>
      <c r="D42" s="12">
        <v>5</v>
      </c>
      <c r="E42" t="str">
        <f>+'Stage Entry'!AB8</f>
        <v>Peter Larsen</v>
      </c>
      <c r="F42" s="116">
        <f>+'Stage Entry'!AC8</f>
        <v>1.1967592592592592E-2</v>
      </c>
      <c r="G42" s="13">
        <f t="shared" si="2"/>
        <v>4</v>
      </c>
    </row>
    <row r="43" spans="1:7" x14ac:dyDescent="0.2">
      <c r="A43" s="12">
        <f>COUNTIF(E$2:E43,E43)</f>
        <v>2</v>
      </c>
      <c r="B43" s="12">
        <v>6</v>
      </c>
      <c r="C43" s="12" t="str">
        <f t="shared" si="1"/>
        <v>Tony Hally2</v>
      </c>
      <c r="D43" s="12">
        <v>5</v>
      </c>
      <c r="E43" t="str">
        <f>+'Stage Entry'!AB9</f>
        <v>Tony Hally</v>
      </c>
      <c r="F43" s="116">
        <f>+'Stage Entry'!AC9</f>
        <v>1.2812499999999999E-2</v>
      </c>
      <c r="G43" s="13">
        <f t="shared" si="2"/>
        <v>4</v>
      </c>
    </row>
    <row r="44" spans="1:7" x14ac:dyDescent="0.2">
      <c r="A44" s="12">
        <f>COUNTIF(E$2:E44,E44)</f>
        <v>2</v>
      </c>
      <c r="B44" s="12">
        <v>7</v>
      </c>
      <c r="C44" s="12" t="str">
        <f t="shared" si="1"/>
        <v>Mark Symes2</v>
      </c>
      <c r="D44" s="12">
        <v>5</v>
      </c>
      <c r="E44" t="str">
        <f>+'Stage Entry'!AB10</f>
        <v>Mark Symes</v>
      </c>
      <c r="F44" s="116">
        <f>+'Stage Entry'!AC10</f>
        <v>1.1770833333333333E-2</v>
      </c>
      <c r="G44" s="13">
        <f t="shared" si="2"/>
        <v>4</v>
      </c>
    </row>
    <row r="45" spans="1:7" x14ac:dyDescent="0.2">
      <c r="A45" s="12">
        <f>COUNTIF(E$2:E45,E45)</f>
        <v>2</v>
      </c>
      <c r="B45" s="12">
        <v>8</v>
      </c>
      <c r="C45" s="12" t="str">
        <f t="shared" si="1"/>
        <v>Alex Kimp2</v>
      </c>
      <c r="D45" s="12">
        <v>5</v>
      </c>
      <c r="E45" t="str">
        <f>+'Stage Entry'!AB11</f>
        <v>Alex Kimp</v>
      </c>
      <c r="F45" s="116">
        <f>+'Stage Entry'!AC11</f>
        <v>1.2013888888888888E-2</v>
      </c>
      <c r="G45" s="13">
        <f t="shared" si="2"/>
        <v>4</v>
      </c>
    </row>
    <row r="46" spans="1:7" x14ac:dyDescent="0.2">
      <c r="A46" s="12">
        <f>COUNTIF(E$2:E46,E46)</f>
        <v>2</v>
      </c>
      <c r="B46" s="12">
        <v>9</v>
      </c>
      <c r="C46" s="12" t="str">
        <f t="shared" si="1"/>
        <v>Simon Moore2</v>
      </c>
      <c r="D46" s="12">
        <v>5</v>
      </c>
      <c r="E46" t="str">
        <f>+'Stage Entry'!AB12</f>
        <v>Simon Moore</v>
      </c>
      <c r="F46" s="116">
        <f>+'Stage Entry'!AC12</f>
        <v>1.2905092592592591E-2</v>
      </c>
      <c r="G46" s="13">
        <f t="shared" si="2"/>
        <v>4</v>
      </c>
    </row>
    <row r="47" spans="1:7" x14ac:dyDescent="0.2">
      <c r="A47" s="12">
        <f>COUNTIF(E$2:E47,E47)</f>
        <v>2</v>
      </c>
      <c r="B47" s="12">
        <v>1</v>
      </c>
      <c r="C47" s="12" t="str">
        <f t="shared" si="1"/>
        <v>Katie Seibold2</v>
      </c>
      <c r="D47" s="12">
        <v>6</v>
      </c>
      <c r="E47" t="str">
        <f>+'Stage Entry'!AG4</f>
        <v>Katie Seibold</v>
      </c>
      <c r="F47" s="116">
        <f>+'Stage Entry'!AH4</f>
        <v>1.1331018518518518E-2</v>
      </c>
      <c r="G47" s="13">
        <f t="shared" ref="G47:G55" si="3">Dist5</f>
        <v>4.2699999999999996</v>
      </c>
    </row>
    <row r="48" spans="1:7" x14ac:dyDescent="0.2">
      <c r="A48" s="12">
        <f>COUNTIF(E$2:E48,E48)</f>
        <v>2</v>
      </c>
      <c r="B48" s="12">
        <v>2</v>
      </c>
      <c r="C48" s="12" t="str">
        <f t="shared" si="1"/>
        <v>Dan Langelaan2</v>
      </c>
      <c r="D48" s="12">
        <v>6</v>
      </c>
      <c r="E48" t="str">
        <f>+'Stage Entry'!AG5</f>
        <v>Dan Langelaan</v>
      </c>
      <c r="F48" s="116">
        <f>+'Stage Entry'!AH5</f>
        <v>1.0578703703703703E-2</v>
      </c>
      <c r="G48" s="13">
        <f t="shared" si="3"/>
        <v>4.2699999999999996</v>
      </c>
    </row>
    <row r="49" spans="1:7" x14ac:dyDescent="0.2">
      <c r="A49" s="12">
        <f>COUNTIF(E$2:E49,E49)</f>
        <v>2</v>
      </c>
      <c r="B49" s="12">
        <v>3</v>
      </c>
      <c r="C49" s="12" t="str">
        <f t="shared" si="1"/>
        <v>Joe Vaughan2</v>
      </c>
      <c r="D49" s="12">
        <v>6</v>
      </c>
      <c r="E49" t="str">
        <f>+'Stage Entry'!AG6</f>
        <v>Joe Vaughan</v>
      </c>
      <c r="F49" s="116">
        <f>+'Stage Entry'!AH6</f>
        <v>1.1226851851851854E-2</v>
      </c>
      <c r="G49" s="13">
        <f t="shared" si="3"/>
        <v>4.2699999999999996</v>
      </c>
    </row>
    <row r="50" spans="1:7" x14ac:dyDescent="0.2">
      <c r="A50" s="12">
        <f>COUNTIF(E$2:E50,E50)</f>
        <v>2</v>
      </c>
      <c r="B50" s="12">
        <v>4</v>
      </c>
      <c r="C50" s="12" t="str">
        <f t="shared" si="1"/>
        <v>James Chiriano2</v>
      </c>
      <c r="D50" s="12">
        <v>6</v>
      </c>
      <c r="E50" t="str">
        <f>+'Stage Entry'!AG7</f>
        <v>James Chiriano</v>
      </c>
      <c r="F50" s="116">
        <f>+'Stage Entry'!AH7</f>
        <v>1.2337962962962962E-2</v>
      </c>
      <c r="G50" s="13">
        <f t="shared" si="3"/>
        <v>4.2699999999999996</v>
      </c>
    </row>
    <row r="51" spans="1:7" x14ac:dyDescent="0.2">
      <c r="A51" s="12">
        <f>COUNTIF(E$2:E51,E51)</f>
        <v>2</v>
      </c>
      <c r="B51" s="12">
        <v>5</v>
      </c>
      <c r="C51" s="12" t="str">
        <f t="shared" si="1"/>
        <v>Ewen Vowels2</v>
      </c>
      <c r="D51" s="12">
        <v>6</v>
      </c>
      <c r="E51" t="str">
        <f>+'Stage Entry'!AG8</f>
        <v>Ewen Vowels</v>
      </c>
      <c r="F51" s="116">
        <f>+'Stage Entry'!AH8</f>
        <v>1.1412037037037038E-2</v>
      </c>
      <c r="G51" s="13">
        <f t="shared" si="3"/>
        <v>4.2699999999999996</v>
      </c>
    </row>
    <row r="52" spans="1:7" x14ac:dyDescent="0.2">
      <c r="A52" s="12">
        <f>COUNTIF(E$2:E52,E52)</f>
        <v>2</v>
      </c>
      <c r="B52" s="12">
        <v>6</v>
      </c>
      <c r="C52" s="12" t="str">
        <f t="shared" si="1"/>
        <v>Anthony Mithen2</v>
      </c>
      <c r="D52" s="12">
        <v>6</v>
      </c>
      <c r="E52" t="str">
        <f>+'Stage Entry'!AG9</f>
        <v>Anthony Mithen</v>
      </c>
      <c r="F52" s="116">
        <f>+'Stage Entry'!AH9</f>
        <v>1.0833333333333334E-2</v>
      </c>
      <c r="G52" s="13">
        <f t="shared" si="3"/>
        <v>4.2699999999999996</v>
      </c>
    </row>
    <row r="53" spans="1:7" x14ac:dyDescent="0.2">
      <c r="A53" s="12">
        <f>COUNTIF(E$2:E53,E53)</f>
        <v>2</v>
      </c>
      <c r="B53" s="12">
        <v>7</v>
      </c>
      <c r="C53" s="12" t="str">
        <f t="shared" si="1"/>
        <v>Bruce Arthur2</v>
      </c>
      <c r="D53" s="12">
        <v>6</v>
      </c>
      <c r="E53" t="str">
        <f>+'Stage Entry'!AG10</f>
        <v>Bruce Arthur</v>
      </c>
      <c r="F53" s="116">
        <f>+'Stage Entry'!AH10</f>
        <v>1.0462962962962964E-2</v>
      </c>
      <c r="G53" s="13">
        <f t="shared" si="3"/>
        <v>4.2699999999999996</v>
      </c>
    </row>
    <row r="54" spans="1:7" x14ac:dyDescent="0.2">
      <c r="A54" s="12">
        <f>COUNTIF(E$2:E54,E54)</f>
        <v>2</v>
      </c>
      <c r="B54" s="12">
        <v>8</v>
      </c>
      <c r="C54" s="12" t="str">
        <f t="shared" si="1"/>
        <v>Greg Roche2</v>
      </c>
      <c r="D54" s="12">
        <v>6</v>
      </c>
      <c r="E54" t="str">
        <f>+'Stage Entry'!AG11</f>
        <v>Greg Roche</v>
      </c>
      <c r="F54" s="116">
        <f>+'Stage Entry'!AH11</f>
        <v>1.1307870370370371E-2</v>
      </c>
      <c r="G54" s="13">
        <f t="shared" si="3"/>
        <v>4.2699999999999996</v>
      </c>
    </row>
    <row r="55" spans="1:7" x14ac:dyDescent="0.2">
      <c r="A55" s="12">
        <f>COUNTIF(E$2:E55,E55)</f>
        <v>2</v>
      </c>
      <c r="B55" s="12">
        <v>9</v>
      </c>
      <c r="C55" s="12" t="str">
        <f t="shared" si="1"/>
        <v>Andrew Compson2</v>
      </c>
      <c r="D55" s="12">
        <v>6</v>
      </c>
      <c r="E55" t="str">
        <f>+'Stage Entry'!AG12</f>
        <v>Andrew Compson</v>
      </c>
      <c r="F55" s="116">
        <f>+'Stage Entry'!AH12</f>
        <v>1.0289351851851852E-2</v>
      </c>
      <c r="G55" s="13">
        <f t="shared" si="3"/>
        <v>4.2699999999999996</v>
      </c>
    </row>
    <row r="56" spans="1:7" x14ac:dyDescent="0.2">
      <c r="A56" s="12">
        <f>COUNTIF(E$2:E56,E56)</f>
        <v>2</v>
      </c>
      <c r="B56" s="12">
        <v>1</v>
      </c>
      <c r="C56" s="12" t="str">
        <f t="shared" si="1"/>
        <v>Matt Clark2</v>
      </c>
      <c r="D56" s="12">
        <v>7</v>
      </c>
      <c r="E56" t="str">
        <f>+'Stage Entry'!AL4</f>
        <v>Matt Clark</v>
      </c>
      <c r="F56" s="116">
        <f>+'Stage Entry'!AM4</f>
        <v>8.518518518518519E-3</v>
      </c>
      <c r="G56" s="13">
        <f t="shared" ref="G56:G64" si="4">Dist6</f>
        <v>3.2</v>
      </c>
    </row>
    <row r="57" spans="1:7" x14ac:dyDescent="0.2">
      <c r="A57" s="12">
        <f>COUNTIF(E$2:E57,E57)</f>
        <v>2</v>
      </c>
      <c r="B57" s="12">
        <v>2</v>
      </c>
      <c r="C57" s="12" t="str">
        <f t="shared" si="1"/>
        <v>Elisa Mooren2</v>
      </c>
      <c r="D57" s="12">
        <v>7</v>
      </c>
      <c r="E57" t="str">
        <f>+'Stage Entry'!AL5</f>
        <v>Elisa Mooren</v>
      </c>
      <c r="F57" s="116">
        <f>+'Stage Entry'!AM5</f>
        <v>8.8078703703703704E-3</v>
      </c>
      <c r="G57" s="13">
        <f t="shared" si="4"/>
        <v>3.2</v>
      </c>
    </row>
    <row r="58" spans="1:7" x14ac:dyDescent="0.2">
      <c r="A58" s="12">
        <f>COUNTIF(E$2:E58,E58)</f>
        <v>2</v>
      </c>
      <c r="B58" s="12">
        <v>3</v>
      </c>
      <c r="C58" s="12" t="str">
        <f t="shared" ref="C58:C97" si="5">E58&amp;A58</f>
        <v>Nick Tobin2</v>
      </c>
      <c r="D58" s="12">
        <v>7</v>
      </c>
      <c r="E58" t="str">
        <f>+'Stage Entry'!AL6</f>
        <v>Nick Tobin</v>
      </c>
      <c r="F58" s="116">
        <f>+'Stage Entry'!AM6</f>
        <v>7.6157407407407415E-3</v>
      </c>
      <c r="G58" s="13">
        <f t="shared" si="4"/>
        <v>3.2</v>
      </c>
    </row>
    <row r="59" spans="1:7" x14ac:dyDescent="0.2">
      <c r="A59" s="12">
        <f>COUNTIF(E$2:E59,E59)</f>
        <v>2</v>
      </c>
      <c r="B59" s="12">
        <v>4</v>
      </c>
      <c r="C59" s="12" t="str">
        <f t="shared" si="5"/>
        <v>Dave Munro2</v>
      </c>
      <c r="D59" s="12">
        <v>7</v>
      </c>
      <c r="E59" t="str">
        <f>+'Stage Entry'!AL7</f>
        <v>Dave Munro</v>
      </c>
      <c r="F59" s="116">
        <f>+'Stage Entry'!AM7</f>
        <v>7.4074074074074068E-3</v>
      </c>
      <c r="G59" s="13">
        <f t="shared" si="4"/>
        <v>3.2</v>
      </c>
    </row>
    <row r="60" spans="1:7" x14ac:dyDescent="0.2">
      <c r="A60" s="12">
        <f>COUNTIF(E$2:E60,E60)</f>
        <v>2</v>
      </c>
      <c r="B60" s="12">
        <v>5</v>
      </c>
      <c r="C60" s="12" t="str">
        <f t="shared" si="5"/>
        <v>Chris Wade2</v>
      </c>
      <c r="D60" s="12">
        <v>7</v>
      </c>
      <c r="E60" t="str">
        <f>+'Stage Entry'!AL8</f>
        <v>Chris Wade</v>
      </c>
      <c r="F60" s="116">
        <f>+'Stage Entry'!AM8</f>
        <v>7.9629629629629634E-3</v>
      </c>
      <c r="G60" s="13">
        <f t="shared" si="4"/>
        <v>3.2</v>
      </c>
    </row>
    <row r="61" spans="1:7" x14ac:dyDescent="0.2">
      <c r="A61" s="12">
        <f>COUNTIF(E$2:E61,E61)</f>
        <v>2</v>
      </c>
      <c r="B61" s="12">
        <v>6</v>
      </c>
      <c r="C61" s="12" t="str">
        <f t="shared" si="5"/>
        <v>Selim Ahmed2</v>
      </c>
      <c r="D61" s="12">
        <v>7</v>
      </c>
      <c r="E61" t="str">
        <f>+'Stage Entry'!AL9</f>
        <v>Selim Ahmed</v>
      </c>
      <c r="F61" s="116">
        <f>+'Stage Entry'!AM9</f>
        <v>7.8703703703703713E-3</v>
      </c>
      <c r="G61" s="13">
        <f t="shared" si="4"/>
        <v>3.2</v>
      </c>
    </row>
    <row r="62" spans="1:7" x14ac:dyDescent="0.2">
      <c r="A62" s="12">
        <f>COUNTIF(E$2:E62,E62)</f>
        <v>2</v>
      </c>
      <c r="B62" s="12">
        <v>7</v>
      </c>
      <c r="C62" s="12" t="str">
        <f t="shared" si="5"/>
        <v>Dale Nardella2</v>
      </c>
      <c r="D62" s="12">
        <v>7</v>
      </c>
      <c r="E62" t="str">
        <f>+'Stage Entry'!AL10</f>
        <v>Dale Nardella</v>
      </c>
      <c r="F62" s="116">
        <f>+'Stage Entry'!AM10</f>
        <v>8.0555555555555554E-3</v>
      </c>
      <c r="G62" s="13">
        <f t="shared" si="4"/>
        <v>3.2</v>
      </c>
    </row>
    <row r="63" spans="1:7" x14ac:dyDescent="0.2">
      <c r="A63" s="12">
        <f>COUNTIF(E$2:E63,E63)</f>
        <v>2</v>
      </c>
      <c r="B63" s="12">
        <v>8</v>
      </c>
      <c r="C63" s="12" t="str">
        <f t="shared" si="5"/>
        <v>Janice De Vries2</v>
      </c>
      <c r="D63" s="12">
        <v>7</v>
      </c>
      <c r="E63" t="str">
        <f>+'Stage Entry'!AL11</f>
        <v>Janice De Vries</v>
      </c>
      <c r="F63" s="116">
        <f>+'Stage Entry'!AM11</f>
        <v>7.69675925925926E-3</v>
      </c>
      <c r="G63" s="13">
        <f t="shared" si="4"/>
        <v>3.2</v>
      </c>
    </row>
    <row r="64" spans="1:7" x14ac:dyDescent="0.2">
      <c r="A64" s="12">
        <f>COUNTIF(E$2:E64,E64)</f>
        <v>2</v>
      </c>
      <c r="B64" s="12">
        <v>9</v>
      </c>
      <c r="C64" s="12" t="str">
        <f t="shared" si="5"/>
        <v>Chris Osborne2</v>
      </c>
      <c r="D64" s="12">
        <v>7</v>
      </c>
      <c r="E64" t="str">
        <f>+'Stage Entry'!AL12</f>
        <v>Chris Osborne</v>
      </c>
      <c r="F64" s="116">
        <f>+'Stage Entry'!AM12</f>
        <v>7.6041666666666662E-3</v>
      </c>
      <c r="G64" s="13">
        <f t="shared" si="4"/>
        <v>3.2</v>
      </c>
    </row>
    <row r="65" spans="1:7" x14ac:dyDescent="0.2">
      <c r="A65" s="12">
        <f>COUNTIF(E$2:E65,E65)</f>
        <v>2</v>
      </c>
      <c r="B65" s="12">
        <v>1</v>
      </c>
      <c r="C65" s="12" t="str">
        <f t="shared" si="5"/>
        <v>Simon Bevege2</v>
      </c>
      <c r="D65" s="12">
        <v>8</v>
      </c>
      <c r="E65" t="str">
        <f>+'Stage Entry'!AQ4</f>
        <v>Simon Bevege</v>
      </c>
      <c r="F65" s="116">
        <f>+'Stage Entry'!AR4</f>
        <v>1.2418981481481482E-2</v>
      </c>
      <c r="G65" s="13">
        <f t="shared" ref="G65:G73" si="6">Dist7</f>
        <v>5.13</v>
      </c>
    </row>
    <row r="66" spans="1:7" x14ac:dyDescent="0.2">
      <c r="A66" s="12">
        <f>COUNTIF(E$2:E66,E66)</f>
        <v>2</v>
      </c>
      <c r="B66" s="12">
        <v>2</v>
      </c>
      <c r="C66" s="12" t="str">
        <f t="shared" si="5"/>
        <v>Andrew Coles2</v>
      </c>
      <c r="D66" s="12">
        <v>8</v>
      </c>
      <c r="E66" t="str">
        <f>+'Stage Entry'!AQ5</f>
        <v>Andrew Coles</v>
      </c>
      <c r="F66" s="116">
        <f>+'Stage Entry'!AR5</f>
        <v>1.4166666666666666E-2</v>
      </c>
      <c r="G66" s="13">
        <f t="shared" si="6"/>
        <v>5.13</v>
      </c>
    </row>
    <row r="67" spans="1:7" x14ac:dyDescent="0.2">
      <c r="A67" s="12">
        <f>COUNTIF(E$2:E67,E67)</f>
        <v>2</v>
      </c>
      <c r="B67" s="12">
        <v>3</v>
      </c>
      <c r="C67" s="12" t="str">
        <f t="shared" si="5"/>
        <v>Stevie Williams2</v>
      </c>
      <c r="D67" s="12">
        <v>8</v>
      </c>
      <c r="E67" t="str">
        <f>+'Stage Entry'!AQ6</f>
        <v>Stevie Williams</v>
      </c>
      <c r="F67" s="116">
        <f>+'Stage Entry'!AR6</f>
        <v>1.4039351851851851E-2</v>
      </c>
      <c r="G67" s="13">
        <f t="shared" si="6"/>
        <v>5.13</v>
      </c>
    </row>
    <row r="68" spans="1:7" x14ac:dyDescent="0.2">
      <c r="A68" s="12">
        <f>COUNTIF(E$2:E68,E68)</f>
        <v>2</v>
      </c>
      <c r="B68" s="12">
        <v>4</v>
      </c>
      <c r="C68" s="12" t="str">
        <f t="shared" si="5"/>
        <v>Glenn Carroll2</v>
      </c>
      <c r="D68" s="12">
        <v>8</v>
      </c>
      <c r="E68" t="str">
        <f>+'Stage Entry'!AQ7</f>
        <v>Glenn Carroll</v>
      </c>
      <c r="F68" s="116">
        <f>+'Stage Entry'!AR7</f>
        <v>1.6273148148148148E-2</v>
      </c>
      <c r="G68" s="13">
        <f t="shared" si="6"/>
        <v>5.13</v>
      </c>
    </row>
    <row r="69" spans="1:7" x14ac:dyDescent="0.2">
      <c r="A69" s="12">
        <f>COUNTIF(E$2:E69,E69)</f>
        <v>2</v>
      </c>
      <c r="B69" s="12">
        <v>5</v>
      </c>
      <c r="C69" s="12" t="str">
        <f t="shared" si="5"/>
        <v>David Alcock2</v>
      </c>
      <c r="D69" s="12">
        <v>8</v>
      </c>
      <c r="E69" t="str">
        <f>+'Stage Entry'!AQ8</f>
        <v>David Alcock</v>
      </c>
      <c r="F69" s="116">
        <f>+'Stage Entry'!AR8</f>
        <v>1.667824074074074E-2</v>
      </c>
      <c r="G69" s="13">
        <f t="shared" si="6"/>
        <v>5.13</v>
      </c>
    </row>
    <row r="70" spans="1:7" x14ac:dyDescent="0.2">
      <c r="A70" s="12">
        <f>COUNTIF(E$2:E70,E70)</f>
        <v>2</v>
      </c>
      <c r="B70" s="12">
        <v>6</v>
      </c>
      <c r="C70" s="12" t="str">
        <f t="shared" si="5"/>
        <v>David Hartley2</v>
      </c>
      <c r="D70" s="12">
        <v>8</v>
      </c>
      <c r="E70" t="str">
        <f>+'Stage Entry'!AQ9</f>
        <v>David Hartley</v>
      </c>
      <c r="F70" s="116">
        <f>+'Stage Entry'!AR9</f>
        <v>1.6608796296296299E-2</v>
      </c>
      <c r="G70" s="13">
        <f t="shared" si="6"/>
        <v>5.13</v>
      </c>
    </row>
    <row r="71" spans="1:7" x14ac:dyDescent="0.2">
      <c r="A71" s="12">
        <f>COUNTIF(E$2:E71,E71)</f>
        <v>2</v>
      </c>
      <c r="B71" s="12">
        <v>7</v>
      </c>
      <c r="C71" s="12" t="str">
        <f t="shared" si="5"/>
        <v>Simon Tu2</v>
      </c>
      <c r="D71" s="12">
        <v>8</v>
      </c>
      <c r="E71" t="str">
        <f>+'Stage Entry'!AQ10</f>
        <v>Simon Tu</v>
      </c>
      <c r="F71" s="116">
        <f>+'Stage Entry'!AR10</f>
        <v>1.4814814814814814E-2</v>
      </c>
      <c r="G71" s="13">
        <f t="shared" si="6"/>
        <v>5.13</v>
      </c>
    </row>
    <row r="72" spans="1:7" x14ac:dyDescent="0.2">
      <c r="A72" s="12">
        <f>COUNTIF(E$2:E72,E72)</f>
        <v>2</v>
      </c>
      <c r="B72" s="12">
        <v>8</v>
      </c>
      <c r="C72" s="12" t="str">
        <f t="shared" si="5"/>
        <v>Richard Does2</v>
      </c>
      <c r="D72" s="12">
        <v>8</v>
      </c>
      <c r="E72" t="str">
        <f>+'Stage Entry'!AQ11</f>
        <v>Richard Does</v>
      </c>
      <c r="F72" s="116">
        <f>+'Stage Entry'!AR11</f>
        <v>1.4618055555555556E-2</v>
      </c>
      <c r="G72" s="13">
        <f t="shared" si="6"/>
        <v>5.13</v>
      </c>
    </row>
    <row r="73" spans="1:7" x14ac:dyDescent="0.2">
      <c r="A73" s="12">
        <f>COUNTIF(E$2:E73,E73)</f>
        <v>2</v>
      </c>
      <c r="B73" s="12">
        <v>9</v>
      </c>
      <c r="C73" s="12" t="str">
        <f t="shared" si="5"/>
        <v>Rob Dalton2</v>
      </c>
      <c r="D73" s="12">
        <v>8</v>
      </c>
      <c r="E73" t="str">
        <f>+'Stage Entry'!AQ12</f>
        <v>Rob Dalton</v>
      </c>
      <c r="F73" s="116">
        <f>+'Stage Entry'!AR12</f>
        <v>1.4409722222222221E-2</v>
      </c>
      <c r="G73" s="13">
        <f t="shared" si="6"/>
        <v>5.13</v>
      </c>
    </row>
    <row r="74" spans="1:7" x14ac:dyDescent="0.2">
      <c r="A74" s="12">
        <f>COUNTIF(E$2:E74,E74)</f>
        <v>3</v>
      </c>
      <c r="B74" s="12">
        <v>1</v>
      </c>
      <c r="C74" s="12" t="str">
        <f t="shared" si="5"/>
        <v>Matt Clark3</v>
      </c>
      <c r="D74" s="12">
        <v>9</v>
      </c>
      <c r="E74" t="str">
        <f>+'Stage Entry'!H16</f>
        <v>Matt Clark</v>
      </c>
      <c r="F74" s="116">
        <f>+'Stage Entry'!I16</f>
        <v>1.3020833333333334E-2</v>
      </c>
      <c r="G74" s="13">
        <f t="shared" ref="G74:G82" si="7">Dist8</f>
        <v>3.66</v>
      </c>
    </row>
    <row r="75" spans="1:7" x14ac:dyDescent="0.2">
      <c r="A75" s="12">
        <f>COUNTIF(E$2:E75,E75)</f>
        <v>3</v>
      </c>
      <c r="B75" s="12">
        <v>2</v>
      </c>
      <c r="C75" s="12" t="str">
        <f t="shared" si="5"/>
        <v>Elisa Mooren3</v>
      </c>
      <c r="D75" s="12">
        <v>9</v>
      </c>
      <c r="E75" t="str">
        <f>+'Stage Entry'!H17</f>
        <v>Elisa Mooren</v>
      </c>
      <c r="F75" s="116">
        <f>+'Stage Entry'!I17</f>
        <v>1.3043981481481483E-2</v>
      </c>
      <c r="G75" s="13">
        <f t="shared" si="7"/>
        <v>3.66</v>
      </c>
    </row>
    <row r="76" spans="1:7" x14ac:dyDescent="0.2">
      <c r="A76" s="12">
        <f>COUNTIF(E$2:E76,E76)</f>
        <v>3</v>
      </c>
      <c r="B76" s="12">
        <v>3</v>
      </c>
      <c r="C76" s="12" t="str">
        <f t="shared" si="5"/>
        <v>Nick Tobin3</v>
      </c>
      <c r="D76" s="12">
        <v>9</v>
      </c>
      <c r="E76" t="str">
        <f>+'Stage Entry'!H18</f>
        <v>Nick Tobin</v>
      </c>
      <c r="F76" s="116">
        <f>+'Stage Entry'!I18</f>
        <v>1.252314814814815E-2</v>
      </c>
      <c r="G76" s="13">
        <f t="shared" si="7"/>
        <v>3.66</v>
      </c>
    </row>
    <row r="77" spans="1:7" x14ac:dyDescent="0.2">
      <c r="A77" s="12">
        <f>COUNTIF(E$2:E77,E77)</f>
        <v>3</v>
      </c>
      <c r="B77" s="12">
        <v>4</v>
      </c>
      <c r="C77" s="12" t="str">
        <f t="shared" si="5"/>
        <v>Stephen Paine3</v>
      </c>
      <c r="D77" s="12">
        <v>9</v>
      </c>
      <c r="E77" t="str">
        <f>+'Stage Entry'!H19</f>
        <v>Stephen Paine</v>
      </c>
      <c r="F77" s="116">
        <f>+'Stage Entry'!I19</f>
        <v>1.0972222222222223E-2</v>
      </c>
      <c r="G77" s="13">
        <f t="shared" si="7"/>
        <v>3.66</v>
      </c>
    </row>
    <row r="78" spans="1:7" x14ac:dyDescent="0.2">
      <c r="A78" s="12">
        <f>COUNTIF(E$2:E78,E78)</f>
        <v>3</v>
      </c>
      <c r="B78" s="12">
        <v>5</v>
      </c>
      <c r="C78" s="12" t="str">
        <f t="shared" si="5"/>
        <v>Chris Wade3</v>
      </c>
      <c r="D78" s="12">
        <v>9</v>
      </c>
      <c r="E78" t="str">
        <f>+'Stage Entry'!H20</f>
        <v>Chris Wade</v>
      </c>
      <c r="F78" s="116">
        <f>+'Stage Entry'!I20</f>
        <v>1.1793981481481482E-2</v>
      </c>
      <c r="G78" s="13">
        <f t="shared" si="7"/>
        <v>3.66</v>
      </c>
    </row>
    <row r="79" spans="1:7" x14ac:dyDescent="0.2">
      <c r="A79" s="12">
        <f>COUNTIF(E$2:E79,E79)</f>
        <v>3</v>
      </c>
      <c r="B79" s="12">
        <v>6</v>
      </c>
      <c r="C79" s="12" t="str">
        <f t="shared" si="5"/>
        <v>Selim Ahmed3</v>
      </c>
      <c r="D79" s="12">
        <v>9</v>
      </c>
      <c r="E79" t="str">
        <f>+'Stage Entry'!H21</f>
        <v>Selim Ahmed</v>
      </c>
      <c r="F79" s="116">
        <f>+'Stage Entry'!I21</f>
        <v>1.1157407407407408E-2</v>
      </c>
      <c r="G79" s="13">
        <f t="shared" si="7"/>
        <v>3.66</v>
      </c>
    </row>
    <row r="80" spans="1:7" x14ac:dyDescent="0.2">
      <c r="A80" s="12">
        <f>COUNTIF(E$2:E80,E80)</f>
        <v>3</v>
      </c>
      <c r="B80" s="12">
        <v>7</v>
      </c>
      <c r="C80" s="12" t="str">
        <f t="shared" si="5"/>
        <v>Dale Nardella3</v>
      </c>
      <c r="D80" s="12">
        <v>9</v>
      </c>
      <c r="E80" t="str">
        <f>+'Stage Entry'!H22</f>
        <v>Dale Nardella</v>
      </c>
      <c r="F80" s="116">
        <f>+'Stage Entry'!I22</f>
        <v>1.1238425925925928E-2</v>
      </c>
      <c r="G80" s="13">
        <f t="shared" si="7"/>
        <v>3.66</v>
      </c>
    </row>
    <row r="81" spans="1:7" x14ac:dyDescent="0.2">
      <c r="A81" s="12">
        <f>COUNTIF(E$2:E81,E81)</f>
        <v>3</v>
      </c>
      <c r="B81" s="12">
        <v>8</v>
      </c>
      <c r="C81" s="12" t="str">
        <f t="shared" si="5"/>
        <v>Greg Roche3</v>
      </c>
      <c r="D81" s="12">
        <v>9</v>
      </c>
      <c r="E81" t="str">
        <f>+'Stage Entry'!H23</f>
        <v>Greg Roche</v>
      </c>
      <c r="F81" s="116">
        <f>+'Stage Entry'!I23</f>
        <v>1.1412037037037038E-2</v>
      </c>
      <c r="G81" s="13">
        <f t="shared" si="7"/>
        <v>3.66</v>
      </c>
    </row>
    <row r="82" spans="1:7" x14ac:dyDescent="0.2">
      <c r="A82" s="12">
        <f>COUNTIF(E$2:E82,E82)</f>
        <v>3</v>
      </c>
      <c r="B82" s="12">
        <v>9</v>
      </c>
      <c r="C82" s="12" t="str">
        <f t="shared" si="5"/>
        <v>Simon Moore3</v>
      </c>
      <c r="D82" s="12">
        <v>9</v>
      </c>
      <c r="E82" t="str">
        <f>+'Stage Entry'!H24</f>
        <v>Simon Moore</v>
      </c>
      <c r="F82" s="116">
        <f>+'Stage Entry'!I24</f>
        <v>1.1516203703703702E-2</v>
      </c>
      <c r="G82" s="13">
        <f t="shared" si="7"/>
        <v>3.66</v>
      </c>
    </row>
    <row r="83" spans="1:7" x14ac:dyDescent="0.2">
      <c r="A83" s="12">
        <f>COUNTIF(E$2:E83,E83)</f>
        <v>3</v>
      </c>
      <c r="B83" s="12">
        <v>1</v>
      </c>
      <c r="C83" s="12" t="str">
        <f t="shared" si="5"/>
        <v>Garth Calder3</v>
      </c>
      <c r="D83" s="12">
        <v>10</v>
      </c>
      <c r="E83" t="str">
        <f>+'Stage Entry'!M16</f>
        <v>Garth Calder</v>
      </c>
      <c r="F83" s="116">
        <f>+'Stage Entry'!N16</f>
        <v>1.0925925925925924E-2</v>
      </c>
      <c r="G83" s="13">
        <f>'Stage Entry'!$N$14</f>
        <v>3.7</v>
      </c>
    </row>
    <row r="84" spans="1:7" x14ac:dyDescent="0.2">
      <c r="A84" s="12">
        <f>COUNTIF(E$2:E84,E84)</f>
        <v>3</v>
      </c>
      <c r="B84" s="12">
        <v>2</v>
      </c>
      <c r="C84" s="12" t="str">
        <f t="shared" si="5"/>
        <v>Clem Scott3</v>
      </c>
      <c r="D84" s="12">
        <v>10</v>
      </c>
      <c r="E84" t="str">
        <f>+'Stage Entry'!M17</f>
        <v>Clem Scott</v>
      </c>
      <c r="F84" s="116">
        <f>+'Stage Entry'!N17</f>
        <v>1.042824074074074E-2</v>
      </c>
      <c r="G84" s="13">
        <f>'Stage Entry'!$N$14</f>
        <v>3.7</v>
      </c>
    </row>
    <row r="85" spans="1:7" x14ac:dyDescent="0.2">
      <c r="A85" s="12">
        <f>COUNTIF(E$2:E85,E85)</f>
        <v>3</v>
      </c>
      <c r="B85" s="12">
        <v>3</v>
      </c>
      <c r="C85" s="12" t="str">
        <f t="shared" si="5"/>
        <v>Joe Vaughan3</v>
      </c>
      <c r="D85" s="12">
        <v>10</v>
      </c>
      <c r="E85" t="str">
        <f>+'Stage Entry'!M18</f>
        <v>Joe Vaughan</v>
      </c>
      <c r="F85" s="116">
        <f>+'Stage Entry'!N18</f>
        <v>1.0983796296296297E-2</v>
      </c>
      <c r="G85" s="13">
        <f>'Stage Entry'!$N$14</f>
        <v>3.7</v>
      </c>
    </row>
    <row r="86" spans="1:7" x14ac:dyDescent="0.2">
      <c r="A86" s="12">
        <f>COUNTIF(E$2:E86,E86)</f>
        <v>3</v>
      </c>
      <c r="B86" s="12">
        <v>4</v>
      </c>
      <c r="C86" s="12" t="str">
        <f t="shared" si="5"/>
        <v>Glenn Carroll3</v>
      </c>
      <c r="D86" s="12">
        <v>10</v>
      </c>
      <c r="E86" t="str">
        <f>+'Stage Entry'!M19</f>
        <v>Glenn Carroll</v>
      </c>
      <c r="F86" s="116">
        <f>+'Stage Entry'!N19</f>
        <v>1.136574074074074E-2</v>
      </c>
      <c r="G86" s="13">
        <f>'Stage Entry'!$N$14</f>
        <v>3.7</v>
      </c>
    </row>
    <row r="87" spans="1:7" x14ac:dyDescent="0.2">
      <c r="A87" s="12">
        <f>COUNTIF(E$2:E87,E87)</f>
        <v>3</v>
      </c>
      <c r="B87" s="12">
        <v>5</v>
      </c>
      <c r="C87" s="12" t="str">
        <f t="shared" si="5"/>
        <v>Ewen Vowels3</v>
      </c>
      <c r="D87" s="12">
        <v>10</v>
      </c>
      <c r="E87" t="str">
        <f>+'Stage Entry'!M20</f>
        <v>Ewen Vowels</v>
      </c>
      <c r="F87" s="116">
        <f>+'Stage Entry'!N20</f>
        <v>1.1666666666666667E-2</v>
      </c>
      <c r="G87" s="13">
        <f>'Stage Entry'!$N$14</f>
        <v>3.7</v>
      </c>
    </row>
    <row r="88" spans="1:7" x14ac:dyDescent="0.2">
      <c r="A88" s="12">
        <f>COUNTIF(E$2:E88,E88)</f>
        <v>3</v>
      </c>
      <c r="B88" s="12">
        <v>6</v>
      </c>
      <c r="C88" s="12" t="str">
        <f t="shared" si="5"/>
        <v>Tony Hally3</v>
      </c>
      <c r="D88" s="12">
        <v>10</v>
      </c>
      <c r="E88" t="str">
        <f>+'Stage Entry'!M21</f>
        <v>Tony Hally</v>
      </c>
      <c r="F88" s="116">
        <f>+'Stage Entry'!N21</f>
        <v>1.1504629629629629E-2</v>
      </c>
      <c r="G88" s="13">
        <f>'Stage Entry'!$N$14</f>
        <v>3.7</v>
      </c>
    </row>
    <row r="89" spans="1:7" x14ac:dyDescent="0.2">
      <c r="A89" s="12">
        <f>COUNTIF(E$2:E89,E89)</f>
        <v>3</v>
      </c>
      <c r="B89" s="12">
        <v>7</v>
      </c>
      <c r="C89" s="12" t="str">
        <f t="shared" si="5"/>
        <v>Mark Symes3</v>
      </c>
      <c r="D89" s="12">
        <v>10</v>
      </c>
      <c r="E89" t="str">
        <f>+'Stage Entry'!M22</f>
        <v>Mark Symes</v>
      </c>
      <c r="F89" s="116">
        <f>+'Stage Entry'!N22</f>
        <v>1.0625000000000001E-2</v>
      </c>
      <c r="G89" s="13">
        <f>'Stage Entry'!$N$14</f>
        <v>3.7</v>
      </c>
    </row>
    <row r="90" spans="1:7" x14ac:dyDescent="0.2">
      <c r="A90" s="12">
        <f>COUNTIF(E$2:E90,E90)</f>
        <v>3</v>
      </c>
      <c r="B90" s="12">
        <v>8</v>
      </c>
      <c r="C90" s="12" t="str">
        <f t="shared" si="5"/>
        <v>Janice De Vries3</v>
      </c>
      <c r="D90" s="12">
        <v>10</v>
      </c>
      <c r="E90" t="str">
        <f>+'Stage Entry'!M23</f>
        <v>Janice De Vries</v>
      </c>
      <c r="F90" s="116">
        <f>+'Stage Entry'!N23</f>
        <v>1.1076388888888887E-2</v>
      </c>
      <c r="G90" s="13">
        <f>'Stage Entry'!$N$14</f>
        <v>3.7</v>
      </c>
    </row>
    <row r="91" spans="1:7" x14ac:dyDescent="0.2">
      <c r="A91" s="12">
        <f>COUNTIF(E$2:E91,E91)</f>
        <v>3</v>
      </c>
      <c r="B91" s="12">
        <v>9</v>
      </c>
      <c r="C91" s="12" t="str">
        <f t="shared" si="5"/>
        <v>Chris Osborne3</v>
      </c>
      <c r="D91" s="12">
        <v>10</v>
      </c>
      <c r="E91" t="str">
        <f>+'Stage Entry'!M24</f>
        <v>Chris Osborne</v>
      </c>
      <c r="F91" s="116">
        <f>+'Stage Entry'!N24</f>
        <v>1.1284722222222222E-2</v>
      </c>
      <c r="G91" s="13">
        <f>'Stage Entry'!$N$14</f>
        <v>3.7</v>
      </c>
    </row>
    <row r="92" spans="1:7" x14ac:dyDescent="0.2">
      <c r="A92" s="12">
        <f>COUNTIF(E$2:E92,E92)</f>
        <v>3</v>
      </c>
      <c r="B92" s="12">
        <v>1</v>
      </c>
      <c r="C92" s="12" t="str">
        <f t="shared" si="5"/>
        <v>Simon Bevege3</v>
      </c>
      <c r="D92" s="12">
        <v>11</v>
      </c>
      <c r="E92" t="str">
        <f>+'Stage Entry'!R16</f>
        <v>Simon Bevege</v>
      </c>
      <c r="F92" s="116">
        <f>+'Stage Entry'!S16</f>
        <v>1.2349537037037039E-2</v>
      </c>
      <c r="G92" s="13">
        <f t="shared" ref="G92:G100" si="8">Dist9</f>
        <v>5.3</v>
      </c>
    </row>
    <row r="93" spans="1:7" x14ac:dyDescent="0.2">
      <c r="A93" s="12">
        <f>COUNTIF(E$2:E93,E93)</f>
        <v>3</v>
      </c>
      <c r="B93" s="12">
        <v>2</v>
      </c>
      <c r="C93" s="12" t="str">
        <f t="shared" si="5"/>
        <v>Andrew Coles3</v>
      </c>
      <c r="D93" s="12">
        <v>11</v>
      </c>
      <c r="E93" t="str">
        <f>+'Stage Entry'!R17</f>
        <v>Andrew Coles</v>
      </c>
      <c r="F93" s="116">
        <f>+'Stage Entry'!S17</f>
        <v>1.3796296296296298E-2</v>
      </c>
      <c r="G93" s="13">
        <f t="shared" si="8"/>
        <v>5.3</v>
      </c>
    </row>
    <row r="94" spans="1:7" x14ac:dyDescent="0.2">
      <c r="A94" s="12">
        <f>COUNTIF(E$2:E94,E94)</f>
        <v>3</v>
      </c>
      <c r="B94" s="12">
        <v>3</v>
      </c>
      <c r="C94" s="12" t="str">
        <f t="shared" si="5"/>
        <v>Stevie Williams3</v>
      </c>
      <c r="D94" s="12">
        <v>11</v>
      </c>
      <c r="E94" t="str">
        <f>+'Stage Entry'!R18</f>
        <v>Stevie Williams</v>
      </c>
      <c r="F94" s="116">
        <f>+'Stage Entry'!S18</f>
        <v>1.34375E-2</v>
      </c>
      <c r="G94" s="13">
        <f t="shared" si="8"/>
        <v>5.3</v>
      </c>
    </row>
    <row r="95" spans="1:7" x14ac:dyDescent="0.2">
      <c r="A95" s="12">
        <f>COUNTIF(E$2:E95,E95)</f>
        <v>3</v>
      </c>
      <c r="B95" s="12">
        <v>4</v>
      </c>
      <c r="C95" s="12" t="str">
        <f t="shared" si="5"/>
        <v>Dave Munro3</v>
      </c>
      <c r="D95" s="12">
        <v>11</v>
      </c>
      <c r="E95" t="str">
        <f>+'Stage Entry'!R19</f>
        <v>Dave Munro</v>
      </c>
      <c r="F95" s="116">
        <f>+'Stage Entry'!S19</f>
        <v>1.4641203703703703E-2</v>
      </c>
      <c r="G95" s="13">
        <f t="shared" si="8"/>
        <v>5.3</v>
      </c>
    </row>
    <row r="96" spans="1:7" x14ac:dyDescent="0.2">
      <c r="A96" s="12">
        <f>COUNTIF(E$2:E96,E96)</f>
        <v>3</v>
      </c>
      <c r="B96" s="12">
        <v>5</v>
      </c>
      <c r="C96" s="12" t="str">
        <f t="shared" si="5"/>
        <v>David Alcock3</v>
      </c>
      <c r="D96" s="12">
        <v>11</v>
      </c>
      <c r="E96" t="str">
        <f>+'Stage Entry'!R20</f>
        <v>David Alcock</v>
      </c>
      <c r="F96" s="116">
        <f>+'Stage Entry'!S20</f>
        <v>1.40625E-2</v>
      </c>
      <c r="G96" s="13">
        <f t="shared" si="8"/>
        <v>5.3</v>
      </c>
    </row>
    <row r="97" spans="1:7" x14ac:dyDescent="0.2">
      <c r="A97" s="12">
        <f>COUNTIF(E$2:E97,E97)</f>
        <v>3</v>
      </c>
      <c r="B97" s="12">
        <v>6</v>
      </c>
      <c r="C97" s="12" t="str">
        <f t="shared" si="5"/>
        <v>David Hartley3</v>
      </c>
      <c r="D97" s="12">
        <v>11</v>
      </c>
      <c r="E97" t="str">
        <f>+'Stage Entry'!R21</f>
        <v>David Hartley</v>
      </c>
      <c r="F97" s="116">
        <f>+'Stage Entry'!S21</f>
        <v>1.4212962962962962E-2</v>
      </c>
      <c r="G97" s="13">
        <f t="shared" si="8"/>
        <v>5.3</v>
      </c>
    </row>
    <row r="98" spans="1:7" x14ac:dyDescent="0.2">
      <c r="A98" s="12">
        <f>COUNTIF(E$2:E98,E98)</f>
        <v>3</v>
      </c>
      <c r="B98" s="12">
        <v>7</v>
      </c>
      <c r="C98" s="12" t="str">
        <f t="shared" ref="C98:C145" si="9">E98&amp;A98</f>
        <v>Simon Tu3</v>
      </c>
      <c r="D98" s="12">
        <v>11</v>
      </c>
      <c r="E98" t="str">
        <f>+'Stage Entry'!R22</f>
        <v>Simon Tu</v>
      </c>
      <c r="F98" s="116">
        <f>+'Stage Entry'!S22</f>
        <v>1.4421296296296295E-2</v>
      </c>
      <c r="G98" s="13">
        <f t="shared" si="8"/>
        <v>5.3</v>
      </c>
    </row>
    <row r="99" spans="1:7" x14ac:dyDescent="0.2">
      <c r="A99" s="12">
        <f>COUNTIF(E$2:E99,E99)</f>
        <v>3</v>
      </c>
      <c r="B99" s="12">
        <v>8</v>
      </c>
      <c r="C99" s="12" t="str">
        <f t="shared" si="9"/>
        <v>Richard Does3</v>
      </c>
      <c r="D99" s="12">
        <v>11</v>
      </c>
      <c r="E99" t="str">
        <f>+'Stage Entry'!R23</f>
        <v>Richard Does</v>
      </c>
      <c r="F99" s="116">
        <f>+'Stage Entry'!S23</f>
        <v>1.4583333333333332E-2</v>
      </c>
      <c r="G99" s="13">
        <f t="shared" si="8"/>
        <v>5.3</v>
      </c>
    </row>
    <row r="100" spans="1:7" x14ac:dyDescent="0.2">
      <c r="A100" s="12">
        <f>COUNTIF(E$2:E100,E100)</f>
        <v>3</v>
      </c>
      <c r="B100" s="12">
        <v>9</v>
      </c>
      <c r="C100" s="12" t="str">
        <f t="shared" si="9"/>
        <v>Rob Dalton3</v>
      </c>
      <c r="D100" s="12">
        <v>11</v>
      </c>
      <c r="E100" t="str">
        <f>+'Stage Entry'!R24</f>
        <v>Rob Dalton</v>
      </c>
      <c r="F100" s="116">
        <f>+'Stage Entry'!S24</f>
        <v>1.4583333333333332E-2</v>
      </c>
      <c r="G100" s="13">
        <f t="shared" si="8"/>
        <v>5.3</v>
      </c>
    </row>
    <row r="101" spans="1:7" x14ac:dyDescent="0.2">
      <c r="A101" s="12">
        <f>COUNTIF(E$2:E101,E101)</f>
        <v>3</v>
      </c>
      <c r="B101" s="12">
        <v>1</v>
      </c>
      <c r="C101" s="12" t="str">
        <f t="shared" si="9"/>
        <v>Katie Seibold3</v>
      </c>
      <c r="D101" s="12">
        <v>12</v>
      </c>
      <c r="E101" t="str">
        <f>+'Stage Entry'!W16</f>
        <v>Katie Seibold</v>
      </c>
      <c r="F101" s="116">
        <f>+'Stage Entry'!X16</f>
        <v>1.2210648148148146E-2</v>
      </c>
      <c r="G101" s="13">
        <f t="shared" ref="G101:G109" si="10">Dist10</f>
        <v>4.5</v>
      </c>
    </row>
    <row r="102" spans="1:7" x14ac:dyDescent="0.2">
      <c r="A102" s="12">
        <f>COUNTIF(E$2:E102,E102)</f>
        <v>3</v>
      </c>
      <c r="B102" s="12">
        <v>2</v>
      </c>
      <c r="C102" s="12" t="str">
        <f t="shared" si="9"/>
        <v>Dan Langelaan3</v>
      </c>
      <c r="D102" s="12">
        <v>12</v>
      </c>
      <c r="E102" t="str">
        <f>+'Stage Entry'!W17</f>
        <v>Dan Langelaan</v>
      </c>
      <c r="F102" s="116">
        <f>+'Stage Entry'!X17</f>
        <v>1.1284722222222222E-2</v>
      </c>
      <c r="G102" s="13">
        <f t="shared" si="10"/>
        <v>4.5</v>
      </c>
    </row>
    <row r="103" spans="1:7" x14ac:dyDescent="0.2">
      <c r="A103" s="12">
        <f>COUNTIF(E$2:E103,E103)</f>
        <v>3</v>
      </c>
      <c r="B103" s="12">
        <v>3</v>
      </c>
      <c r="C103" s="12" t="str">
        <f t="shared" si="9"/>
        <v>Shane Fielding3</v>
      </c>
      <c r="D103" s="12">
        <v>12</v>
      </c>
      <c r="E103" t="str">
        <f>+'Stage Entry'!W18</f>
        <v>Shane Fielding</v>
      </c>
      <c r="F103" s="116">
        <f>+'Stage Entry'!X18</f>
        <v>1.1377314814814814E-2</v>
      </c>
      <c r="G103" s="13">
        <f t="shared" si="10"/>
        <v>4.5</v>
      </c>
    </row>
    <row r="104" spans="1:7" x14ac:dyDescent="0.2">
      <c r="A104" s="12">
        <f>COUNTIF(E$2:E104,E104)</f>
        <v>3</v>
      </c>
      <c r="B104" s="12">
        <v>4</v>
      </c>
      <c r="C104" s="12" t="str">
        <f t="shared" si="9"/>
        <v>James Chiriano3</v>
      </c>
      <c r="D104" s="12">
        <v>12</v>
      </c>
      <c r="E104" t="str">
        <f>+'Stage Entry'!W19</f>
        <v>James Chiriano</v>
      </c>
      <c r="F104" s="116">
        <f>+'Stage Entry'!X19</f>
        <v>2.0833333333333332E-2</v>
      </c>
      <c r="G104" s="13">
        <f t="shared" si="10"/>
        <v>4.5</v>
      </c>
    </row>
    <row r="105" spans="1:7" x14ac:dyDescent="0.2">
      <c r="A105" s="12">
        <f>COUNTIF(E$2:E105,E105)</f>
        <v>3</v>
      </c>
      <c r="B105" s="12">
        <v>5</v>
      </c>
      <c r="C105" s="12" t="str">
        <f t="shared" si="9"/>
        <v>Peter Larsen3</v>
      </c>
      <c r="D105" s="12">
        <v>12</v>
      </c>
      <c r="E105" t="str">
        <f>+'Stage Entry'!W20</f>
        <v>Peter Larsen</v>
      </c>
      <c r="F105" s="116">
        <f>+'Stage Entry'!X20</f>
        <v>1.1469907407407408E-2</v>
      </c>
      <c r="G105" s="13">
        <f t="shared" si="10"/>
        <v>4.5</v>
      </c>
    </row>
    <row r="106" spans="1:7" x14ac:dyDescent="0.2">
      <c r="A106" s="12">
        <f>COUNTIF(E$2:E106,E106)</f>
        <v>3</v>
      </c>
      <c r="B106" s="12">
        <v>6</v>
      </c>
      <c r="C106" s="12" t="str">
        <f t="shared" si="9"/>
        <v>Anthony Mithen3</v>
      </c>
      <c r="D106" s="12">
        <v>12</v>
      </c>
      <c r="E106" t="str">
        <f>+'Stage Entry'!W21</f>
        <v>Anthony Mithen</v>
      </c>
      <c r="F106" s="116">
        <f>+'Stage Entry'!X21</f>
        <v>1.1782407407407406E-2</v>
      </c>
      <c r="G106" s="13">
        <f t="shared" si="10"/>
        <v>4.5</v>
      </c>
    </row>
    <row r="107" spans="1:7" x14ac:dyDescent="0.2">
      <c r="A107" s="12">
        <f>COUNTIF(E$2:E107,E107)</f>
        <v>3</v>
      </c>
      <c r="B107" s="12">
        <v>7</v>
      </c>
      <c r="C107" s="12" t="str">
        <f t="shared" si="9"/>
        <v>Bruce Arthur3</v>
      </c>
      <c r="D107" s="12">
        <v>12</v>
      </c>
      <c r="E107" t="str">
        <f>+'Stage Entry'!W22</f>
        <v>Bruce Arthur</v>
      </c>
      <c r="F107" s="116">
        <f>+'Stage Entry'!X22</f>
        <v>1.1504629629629629E-2</v>
      </c>
      <c r="G107" s="13">
        <f t="shared" si="10"/>
        <v>4.5</v>
      </c>
    </row>
    <row r="108" spans="1:7" x14ac:dyDescent="0.2">
      <c r="A108" s="12">
        <f>COUNTIF(E$2:E108,E108)</f>
        <v>3</v>
      </c>
      <c r="B108" s="12">
        <v>8</v>
      </c>
      <c r="C108" s="12" t="str">
        <f t="shared" si="9"/>
        <v>Alex Kimp3</v>
      </c>
      <c r="D108" s="12">
        <v>12</v>
      </c>
      <c r="E108" t="str">
        <f>+'Stage Entry'!W23</f>
        <v>Alex Kimp</v>
      </c>
      <c r="F108" s="116">
        <f>+'Stage Entry'!X23</f>
        <v>1.1145833333333334E-2</v>
      </c>
      <c r="G108" s="13">
        <f t="shared" si="10"/>
        <v>4.5</v>
      </c>
    </row>
    <row r="109" spans="1:7" x14ac:dyDescent="0.2">
      <c r="A109" s="12">
        <f>COUNTIF(E$2:E109,E109)</f>
        <v>3</v>
      </c>
      <c r="B109" s="12">
        <v>9</v>
      </c>
      <c r="C109" s="12" t="str">
        <f t="shared" si="9"/>
        <v>Andrew Compson3</v>
      </c>
      <c r="D109" s="12">
        <v>12</v>
      </c>
      <c r="E109" t="str">
        <f>+'Stage Entry'!W24</f>
        <v>Andrew Compson</v>
      </c>
      <c r="F109" s="116">
        <f>+'Stage Entry'!X24</f>
        <v>1.1388888888888888E-2</v>
      </c>
      <c r="G109" s="13">
        <f t="shared" si="10"/>
        <v>4.5</v>
      </c>
    </row>
    <row r="110" spans="1:7" x14ac:dyDescent="0.2">
      <c r="A110" s="12">
        <f>COUNTIF(E$2:E110,E110)</f>
        <v>4</v>
      </c>
      <c r="B110" s="12">
        <v>1</v>
      </c>
      <c r="C110" s="12" t="str">
        <f t="shared" si="9"/>
        <v>Simon Bevege4</v>
      </c>
      <c r="D110" s="12">
        <v>13</v>
      </c>
      <c r="E110" t="str">
        <f>+'Stage Entry'!AB16</f>
        <v>Simon Bevege</v>
      </c>
      <c r="F110" s="116">
        <f>+'Stage Entry'!AC16</f>
        <v>1.0937500000000001E-2</v>
      </c>
      <c r="G110" s="13">
        <f t="shared" ref="G110:G118" si="11">Dist11</f>
        <v>4.5</v>
      </c>
    </row>
    <row r="111" spans="1:7" x14ac:dyDescent="0.2">
      <c r="A111" s="12">
        <f>COUNTIF(E$2:E111,E111)</f>
        <v>4</v>
      </c>
      <c r="B111" s="12">
        <v>2</v>
      </c>
      <c r="C111" s="12" t="str">
        <f t="shared" si="9"/>
        <v>Clem Scott4</v>
      </c>
      <c r="D111" s="12">
        <v>13</v>
      </c>
      <c r="E111" t="str">
        <f>+'Stage Entry'!AB17</f>
        <v>Clem Scott</v>
      </c>
      <c r="F111" s="116">
        <f>+'Stage Entry'!AC17</f>
        <v>1.2743055555555556E-2</v>
      </c>
      <c r="G111" s="13">
        <f t="shared" si="11"/>
        <v>4.5</v>
      </c>
    </row>
    <row r="112" spans="1:7" x14ac:dyDescent="0.2">
      <c r="A112" s="12">
        <f>COUNTIF(E$2:E112,E112)</f>
        <v>4</v>
      </c>
      <c r="B112" s="12">
        <v>3</v>
      </c>
      <c r="C112" s="12" t="str">
        <f t="shared" si="9"/>
        <v>Joe Vaughan4</v>
      </c>
      <c r="D112" s="12">
        <v>13</v>
      </c>
      <c r="E112" t="str">
        <f>+'Stage Entry'!AB18</f>
        <v>Joe Vaughan</v>
      </c>
      <c r="F112" s="116">
        <f>+'Stage Entry'!AC18</f>
        <v>1.3414351851851851E-2</v>
      </c>
      <c r="G112" s="13">
        <f t="shared" si="11"/>
        <v>4.5</v>
      </c>
    </row>
    <row r="113" spans="1:7" x14ac:dyDescent="0.2">
      <c r="A113" s="12">
        <f>COUNTIF(E$2:E113,E113)</f>
        <v>4</v>
      </c>
      <c r="B113" s="12">
        <v>4</v>
      </c>
      <c r="C113" s="12" t="str">
        <f t="shared" si="9"/>
        <v>Stephen Paine4</v>
      </c>
      <c r="D113" s="12">
        <v>13</v>
      </c>
      <c r="E113" t="str">
        <f>+'Stage Entry'!AB19</f>
        <v>Stephen Paine</v>
      </c>
      <c r="F113" s="116">
        <f>+'Stage Entry'!AC19</f>
        <v>1.7361111111111112E-2</v>
      </c>
      <c r="G113" s="13">
        <f t="shared" si="11"/>
        <v>4.5</v>
      </c>
    </row>
    <row r="114" spans="1:7" x14ac:dyDescent="0.2">
      <c r="A114" s="12">
        <f>COUNTIF(E$2:E114,E114)</f>
        <v>4</v>
      </c>
      <c r="B114" s="12">
        <v>5</v>
      </c>
      <c r="C114" s="12" t="str">
        <f t="shared" si="9"/>
        <v>David Alcock4</v>
      </c>
      <c r="D114" s="12">
        <v>13</v>
      </c>
      <c r="E114" t="str">
        <f>+'Stage Entry'!AB20</f>
        <v>David Alcock</v>
      </c>
      <c r="F114" s="116">
        <f>+'Stage Entry'!AC20</f>
        <v>1.2418981481481482E-2</v>
      </c>
      <c r="G114" s="13">
        <f t="shared" si="11"/>
        <v>4.5</v>
      </c>
    </row>
    <row r="115" spans="1:7" x14ac:dyDescent="0.2">
      <c r="A115" s="12">
        <f>COUNTIF(E$2:E115,E115)</f>
        <v>4</v>
      </c>
      <c r="B115" s="12">
        <v>6</v>
      </c>
      <c r="C115" s="12" t="str">
        <f t="shared" si="9"/>
        <v>David Hartley4</v>
      </c>
      <c r="D115" s="12">
        <v>13</v>
      </c>
      <c r="E115" t="str">
        <f>+'Stage Entry'!AB21</f>
        <v>David Hartley</v>
      </c>
      <c r="F115" s="116">
        <f>+'Stage Entry'!AC21</f>
        <v>1.3344907407407408E-2</v>
      </c>
      <c r="G115" s="13">
        <f t="shared" si="11"/>
        <v>4.5</v>
      </c>
    </row>
    <row r="116" spans="1:7" x14ac:dyDescent="0.2">
      <c r="A116" s="12">
        <f>COUNTIF(E$2:E116,E116)</f>
        <v>4</v>
      </c>
      <c r="B116" s="12">
        <v>7</v>
      </c>
      <c r="C116" s="12" t="str">
        <f t="shared" si="9"/>
        <v>Simon Tu4</v>
      </c>
      <c r="D116" s="12">
        <v>13</v>
      </c>
      <c r="E116" t="str">
        <f>+'Stage Entry'!AB22</f>
        <v>Simon Tu</v>
      </c>
      <c r="F116" s="116">
        <f>+'Stage Entry'!AC22</f>
        <v>1.2731481481481481E-2</v>
      </c>
      <c r="G116" s="13">
        <f t="shared" si="11"/>
        <v>4.5</v>
      </c>
    </row>
    <row r="117" spans="1:7" x14ac:dyDescent="0.2">
      <c r="A117" s="12">
        <f>COUNTIF(E$2:E117,E117)</f>
        <v>4</v>
      </c>
      <c r="B117" s="12">
        <v>8</v>
      </c>
      <c r="C117" s="12" t="str">
        <f t="shared" si="9"/>
        <v>Richard Does4</v>
      </c>
      <c r="D117" s="12">
        <v>13</v>
      </c>
      <c r="E117" t="str">
        <f>+'Stage Entry'!AB23</f>
        <v>Richard Does</v>
      </c>
      <c r="F117" s="116">
        <f>+'Stage Entry'!AC23</f>
        <v>1.2615740740740742E-2</v>
      </c>
      <c r="G117" s="13">
        <f t="shared" si="11"/>
        <v>4.5</v>
      </c>
    </row>
    <row r="118" spans="1:7" x14ac:dyDescent="0.2">
      <c r="A118" s="12">
        <f>COUNTIF(E$2:E118,E118)</f>
        <v>4</v>
      </c>
      <c r="B118" s="12">
        <v>9</v>
      </c>
      <c r="C118" s="12" t="str">
        <f t="shared" si="9"/>
        <v>Simon Moore4</v>
      </c>
      <c r="D118" s="12">
        <v>13</v>
      </c>
      <c r="E118" t="str">
        <f>+'Stage Entry'!AB24</f>
        <v>Simon Moore</v>
      </c>
      <c r="F118" s="116">
        <f>+'Stage Entry'!AC24</f>
        <v>1.375E-2</v>
      </c>
      <c r="G118" s="13">
        <f t="shared" si="11"/>
        <v>4.5</v>
      </c>
    </row>
    <row r="119" spans="1:7" x14ac:dyDescent="0.2">
      <c r="A119" s="12">
        <f>COUNTIF(E$2:E119,E119)</f>
        <v>4</v>
      </c>
      <c r="B119" s="12">
        <v>1</v>
      </c>
      <c r="C119" s="12" t="str">
        <f t="shared" si="9"/>
        <v>Katie Seibold4</v>
      </c>
      <c r="D119" s="12">
        <v>14</v>
      </c>
      <c r="E119" t="str">
        <f>+'Stage Entry'!AG16</f>
        <v>Katie Seibold</v>
      </c>
      <c r="F119" s="116">
        <f>+'Stage Entry'!AH16</f>
        <v>1.1342592592592592E-2</v>
      </c>
      <c r="G119" s="13">
        <f t="shared" ref="G119:G127" si="12">Dist12</f>
        <v>4.21</v>
      </c>
    </row>
    <row r="120" spans="1:7" x14ac:dyDescent="0.2">
      <c r="A120" s="12">
        <f>COUNTIF(E$2:E120,E120)</f>
        <v>4</v>
      </c>
      <c r="B120" s="12">
        <v>2</v>
      </c>
      <c r="C120" s="12" t="str">
        <f t="shared" si="9"/>
        <v>Elisa Mooren4</v>
      </c>
      <c r="D120" s="12">
        <v>14</v>
      </c>
      <c r="E120" t="str">
        <f>+'Stage Entry'!AG17</f>
        <v>Elisa Mooren</v>
      </c>
      <c r="F120" s="116">
        <f>+'Stage Entry'!AH17</f>
        <v>1.3495370370370371E-2</v>
      </c>
      <c r="G120" s="13">
        <f t="shared" si="12"/>
        <v>4.21</v>
      </c>
    </row>
    <row r="121" spans="1:7" x14ac:dyDescent="0.2">
      <c r="A121" s="12">
        <f>COUNTIF(E$2:E121,E121)</f>
        <v>4</v>
      </c>
      <c r="B121" s="12">
        <v>3</v>
      </c>
      <c r="C121" s="12" t="str">
        <f t="shared" si="9"/>
        <v>Stevie Williams4</v>
      </c>
      <c r="D121" s="12">
        <v>14</v>
      </c>
      <c r="E121" t="str">
        <f>+'Stage Entry'!AG18</f>
        <v>Stevie Williams</v>
      </c>
      <c r="F121" s="116">
        <f>+'Stage Entry'!AH18</f>
        <v>1.0127314814814815E-2</v>
      </c>
      <c r="G121" s="13">
        <f t="shared" si="12"/>
        <v>4.21</v>
      </c>
    </row>
    <row r="122" spans="1:7" x14ac:dyDescent="0.2">
      <c r="A122" s="12">
        <f>COUNTIF(E$2:E122,E122)</f>
        <v>4</v>
      </c>
      <c r="B122" s="12">
        <v>4</v>
      </c>
      <c r="C122" s="12" t="str">
        <f t="shared" si="9"/>
        <v>Glenn Carroll4</v>
      </c>
      <c r="D122" s="12">
        <v>14</v>
      </c>
      <c r="E122" t="str">
        <f>+'Stage Entry'!AG19</f>
        <v>Glenn Carroll</v>
      </c>
      <c r="F122" s="116">
        <f>+'Stage Entry'!AH19</f>
        <v>1.7361111111111112E-2</v>
      </c>
      <c r="G122" s="13">
        <f t="shared" si="12"/>
        <v>4.21</v>
      </c>
    </row>
    <row r="123" spans="1:7" x14ac:dyDescent="0.2">
      <c r="A123" s="12">
        <f>COUNTIF(E$2:E123,E123)</f>
        <v>4</v>
      </c>
      <c r="B123" s="12">
        <v>5</v>
      </c>
      <c r="C123" s="12" t="str">
        <f t="shared" si="9"/>
        <v>Ewen Vowels4</v>
      </c>
      <c r="D123" s="12">
        <v>14</v>
      </c>
      <c r="E123" t="str">
        <f>+'Stage Entry'!AG20</f>
        <v>Ewen Vowels</v>
      </c>
      <c r="F123" s="116">
        <f>+'Stage Entry'!AH20</f>
        <v>1.1979166666666666E-2</v>
      </c>
      <c r="G123" s="13">
        <f t="shared" si="12"/>
        <v>4.21</v>
      </c>
    </row>
    <row r="124" spans="1:7" x14ac:dyDescent="0.2">
      <c r="A124" s="12">
        <f>COUNTIF(E$2:E124,E124)</f>
        <v>4</v>
      </c>
      <c r="B124" s="12">
        <v>6</v>
      </c>
      <c r="C124" s="12" t="str">
        <f t="shared" si="9"/>
        <v>Tony Hally4</v>
      </c>
      <c r="D124" s="12">
        <v>14</v>
      </c>
      <c r="E124" t="str">
        <f>+'Stage Entry'!AG21</f>
        <v>Tony Hally</v>
      </c>
      <c r="F124" s="116">
        <f>+'Stage Entry'!AH21</f>
        <v>1.1620370370370371E-2</v>
      </c>
      <c r="G124" s="13">
        <f t="shared" si="12"/>
        <v>4.21</v>
      </c>
    </row>
    <row r="125" spans="1:7" x14ac:dyDescent="0.2">
      <c r="A125" s="12">
        <f>COUNTIF(E$2:E125,E125)</f>
        <v>4</v>
      </c>
      <c r="B125" s="12">
        <v>7</v>
      </c>
      <c r="C125" s="12" t="str">
        <f t="shared" si="9"/>
        <v>Mark Symes4</v>
      </c>
      <c r="D125" s="12">
        <v>14</v>
      </c>
      <c r="E125" t="str">
        <f>+'Stage Entry'!AG22</f>
        <v>Mark Symes</v>
      </c>
      <c r="F125" s="116">
        <f>+'Stage Entry'!AH22</f>
        <v>1.0995370370370371E-2</v>
      </c>
      <c r="G125" s="13">
        <f t="shared" si="12"/>
        <v>4.21</v>
      </c>
    </row>
    <row r="126" spans="1:7" x14ac:dyDescent="0.2">
      <c r="A126" s="12">
        <f>COUNTIF(E$2:E126,E126)</f>
        <v>4</v>
      </c>
      <c r="B126" s="12">
        <v>8</v>
      </c>
      <c r="C126" s="12" t="str">
        <f t="shared" si="9"/>
        <v>Greg Roche4</v>
      </c>
      <c r="D126" s="12">
        <v>14</v>
      </c>
      <c r="E126" t="str">
        <f>+'Stage Entry'!AG23</f>
        <v>Greg Roche</v>
      </c>
      <c r="F126" s="116">
        <f>+'Stage Entry'!AH23</f>
        <v>1.1979166666666666E-2</v>
      </c>
      <c r="G126" s="13">
        <f t="shared" si="12"/>
        <v>4.21</v>
      </c>
    </row>
    <row r="127" spans="1:7" x14ac:dyDescent="0.2">
      <c r="A127" s="12">
        <f>COUNTIF(E$2:E127,E127)</f>
        <v>4</v>
      </c>
      <c r="B127" s="12">
        <v>9</v>
      </c>
      <c r="C127" s="12" t="str">
        <f t="shared" si="9"/>
        <v>Chris Osborne4</v>
      </c>
      <c r="D127" s="12">
        <v>14</v>
      </c>
      <c r="E127" t="str">
        <f>+'Stage Entry'!AG24</f>
        <v>Chris Osborne</v>
      </c>
      <c r="F127" s="116">
        <f>+'Stage Entry'!AH24</f>
        <v>1.136574074074074E-2</v>
      </c>
      <c r="G127" s="13">
        <f t="shared" si="12"/>
        <v>4.21</v>
      </c>
    </row>
    <row r="128" spans="1:7" x14ac:dyDescent="0.2">
      <c r="A128" s="12">
        <f>COUNTIF(E$2:E128,E128)</f>
        <v>4</v>
      </c>
      <c r="B128" s="12">
        <v>1</v>
      </c>
      <c r="C128" s="12" t="str">
        <f t="shared" si="9"/>
        <v>Garth Calder4</v>
      </c>
      <c r="D128" s="12">
        <v>15</v>
      </c>
      <c r="E128" t="str">
        <f>+'Stage Entry'!AL16</f>
        <v>Garth Calder</v>
      </c>
      <c r="F128" s="116">
        <f>+'Stage Entry'!AM16</f>
        <v>1.0775462962962964E-2</v>
      </c>
      <c r="G128" s="13">
        <f t="shared" ref="G128:G136" si="13">Dist13</f>
        <v>4.49</v>
      </c>
    </row>
    <row r="129" spans="1:7" x14ac:dyDescent="0.2">
      <c r="A129" s="12">
        <f>COUNTIF(E$2:E129,E129)</f>
        <v>4</v>
      </c>
      <c r="B129" s="12">
        <v>2</v>
      </c>
      <c r="C129" s="12" t="str">
        <f t="shared" si="9"/>
        <v>Andrew Coles4</v>
      </c>
      <c r="D129" s="12">
        <v>15</v>
      </c>
      <c r="E129" t="str">
        <f>+'Stage Entry'!AL17</f>
        <v>Andrew Coles</v>
      </c>
      <c r="F129" s="116">
        <f>+'Stage Entry'!AM17</f>
        <v>1.0150462962962964E-2</v>
      </c>
      <c r="G129" s="13">
        <f t="shared" si="13"/>
        <v>4.49</v>
      </c>
    </row>
    <row r="130" spans="1:7" x14ac:dyDescent="0.2">
      <c r="A130" s="12">
        <f>COUNTIF(E$2:E130,E130)</f>
        <v>4</v>
      </c>
      <c r="B130" s="12">
        <v>3</v>
      </c>
      <c r="C130" s="12" t="str">
        <f t="shared" si="9"/>
        <v>Shane Fielding4</v>
      </c>
      <c r="D130" s="12">
        <v>15</v>
      </c>
      <c r="E130" t="str">
        <f>+'Stage Entry'!AL18</f>
        <v>Shane Fielding</v>
      </c>
      <c r="F130" s="116">
        <f>+'Stage Entry'!AM18</f>
        <v>1.0567129629629629E-2</v>
      </c>
      <c r="G130" s="13">
        <f t="shared" si="13"/>
        <v>4.49</v>
      </c>
    </row>
    <row r="131" spans="1:7" x14ac:dyDescent="0.2">
      <c r="A131" s="12">
        <f>COUNTIF(E$2:E131,E131)</f>
        <v>4</v>
      </c>
      <c r="B131" s="12">
        <v>4</v>
      </c>
      <c r="C131" s="12" t="str">
        <f t="shared" si="9"/>
        <v>Dave Munro4</v>
      </c>
      <c r="D131" s="12">
        <v>15</v>
      </c>
      <c r="E131" t="str">
        <f>+'Stage Entry'!AL19</f>
        <v>Dave Munro</v>
      </c>
      <c r="F131" s="116">
        <f>+'Stage Entry'!AM19</f>
        <v>1.7361111111111112E-2</v>
      </c>
      <c r="G131" s="13">
        <f t="shared" si="13"/>
        <v>4.49</v>
      </c>
    </row>
    <row r="132" spans="1:7" x14ac:dyDescent="0.2">
      <c r="A132" s="12">
        <f>COUNTIF(E$2:E132,E132)</f>
        <v>4</v>
      </c>
      <c r="B132" s="12">
        <v>5</v>
      </c>
      <c r="C132" s="12" t="str">
        <f t="shared" si="9"/>
        <v>Peter Larsen4</v>
      </c>
      <c r="D132" s="12">
        <v>15</v>
      </c>
      <c r="E132" t="str">
        <f>+'Stage Entry'!AL20</f>
        <v>Peter Larsen</v>
      </c>
      <c r="F132" s="116">
        <f>+'Stage Entry'!AM20</f>
        <v>1.0972222222222223E-2</v>
      </c>
      <c r="G132" s="13">
        <f t="shared" si="13"/>
        <v>4.49</v>
      </c>
    </row>
    <row r="133" spans="1:7" x14ac:dyDescent="0.2">
      <c r="A133" s="12">
        <f>COUNTIF(E$2:E133,E133)</f>
        <v>4</v>
      </c>
      <c r="B133" s="12">
        <v>6</v>
      </c>
      <c r="C133" s="12" t="str">
        <f t="shared" si="9"/>
        <v>Anthony Mithen4</v>
      </c>
      <c r="D133" s="12">
        <v>15</v>
      </c>
      <c r="E133" t="str">
        <f>+'Stage Entry'!AL21</f>
        <v>Anthony Mithen</v>
      </c>
      <c r="F133" s="116">
        <f>+'Stage Entry'!AM21</f>
        <v>1.119212962962963E-2</v>
      </c>
      <c r="G133" s="13">
        <f t="shared" si="13"/>
        <v>4.49</v>
      </c>
    </row>
    <row r="134" spans="1:7" x14ac:dyDescent="0.2">
      <c r="A134" s="12">
        <f>COUNTIF(E$2:E134,E134)</f>
        <v>4</v>
      </c>
      <c r="B134" s="12">
        <v>7</v>
      </c>
      <c r="C134" s="12" t="str">
        <f t="shared" si="9"/>
        <v>Bruce Arthur4</v>
      </c>
      <c r="D134" s="12">
        <v>15</v>
      </c>
      <c r="E134" t="str">
        <f>+'Stage Entry'!AL22</f>
        <v>Bruce Arthur</v>
      </c>
      <c r="F134" s="116">
        <f>+'Stage Entry'!AM22</f>
        <v>1.0277777777777778E-2</v>
      </c>
      <c r="G134" s="13">
        <f t="shared" si="13"/>
        <v>4.49</v>
      </c>
    </row>
    <row r="135" spans="1:7" x14ac:dyDescent="0.2">
      <c r="A135" s="12">
        <f>COUNTIF(E$2:E135,E135)</f>
        <v>4</v>
      </c>
      <c r="B135" s="12">
        <v>8</v>
      </c>
      <c r="C135" s="12" t="str">
        <f t="shared" si="9"/>
        <v>Alex Kimp4</v>
      </c>
      <c r="D135" s="12">
        <v>15</v>
      </c>
      <c r="E135" t="str">
        <f>+'Stage Entry'!AL23</f>
        <v>Alex Kimp</v>
      </c>
      <c r="F135" s="116">
        <f>+'Stage Entry'!AM23</f>
        <v>1.0717592592592593E-2</v>
      </c>
      <c r="G135" s="13">
        <f t="shared" si="13"/>
        <v>4.49</v>
      </c>
    </row>
    <row r="136" spans="1:7" x14ac:dyDescent="0.2">
      <c r="A136" s="12">
        <f>COUNTIF(E$2:E136,E136)</f>
        <v>4</v>
      </c>
      <c r="B136" s="12">
        <v>9</v>
      </c>
      <c r="C136" s="12" t="str">
        <f t="shared" si="9"/>
        <v>Rob Dalton4</v>
      </c>
      <c r="D136" s="12">
        <v>15</v>
      </c>
      <c r="E136" t="str">
        <f>+'Stage Entry'!AL24</f>
        <v>Rob Dalton</v>
      </c>
      <c r="F136" s="116">
        <f>+'Stage Entry'!AM24</f>
        <v>1.0636574074074074E-2</v>
      </c>
      <c r="G136" s="13">
        <f t="shared" si="13"/>
        <v>4.49</v>
      </c>
    </row>
    <row r="137" spans="1:7" x14ac:dyDescent="0.2">
      <c r="A137" s="12">
        <f>COUNTIF(E$2:E137,E137)</f>
        <v>4</v>
      </c>
      <c r="B137" s="12">
        <v>1</v>
      </c>
      <c r="C137" s="12" t="str">
        <f t="shared" si="9"/>
        <v>Matt Clark4</v>
      </c>
      <c r="D137" s="12">
        <v>16</v>
      </c>
      <c r="E137" t="str">
        <f>+'Stage Entry'!AQ16</f>
        <v>Matt Clark</v>
      </c>
      <c r="F137" s="116">
        <f>+'Stage Entry'!AR16</f>
        <v>1.1574074074074075E-2</v>
      </c>
      <c r="G137" s="13">
        <f t="shared" ref="G137:G145" si="14">Dist14</f>
        <v>3.66</v>
      </c>
    </row>
    <row r="138" spans="1:7" x14ac:dyDescent="0.2">
      <c r="A138" s="12">
        <f>COUNTIF(E$2:E138,E138)</f>
        <v>4</v>
      </c>
      <c r="B138" s="12">
        <v>2</v>
      </c>
      <c r="C138" s="12" t="str">
        <f t="shared" si="9"/>
        <v>Dan Langelaan4</v>
      </c>
      <c r="D138" s="12">
        <v>16</v>
      </c>
      <c r="E138" t="str">
        <f>+'Stage Entry'!AQ17</f>
        <v>Dan Langelaan</v>
      </c>
      <c r="F138" s="116">
        <f>+'Stage Entry'!AR17</f>
        <v>9.8842592592592576E-3</v>
      </c>
      <c r="G138" s="13">
        <f t="shared" si="14"/>
        <v>3.66</v>
      </c>
    </row>
    <row r="139" spans="1:7" x14ac:dyDescent="0.2">
      <c r="A139" s="12">
        <f>COUNTIF(E$2:E139,E139)</f>
        <v>4</v>
      </c>
      <c r="B139" s="12">
        <v>3</v>
      </c>
      <c r="C139" s="12" t="str">
        <f t="shared" si="9"/>
        <v>Nick Tobin4</v>
      </c>
      <c r="D139" s="12">
        <v>16</v>
      </c>
      <c r="E139" t="str">
        <f>+'Stage Entry'!AQ18</f>
        <v>Nick Tobin</v>
      </c>
      <c r="F139" s="116">
        <f>+'Stage Entry'!AR18</f>
        <v>1.1099537037037038E-2</v>
      </c>
      <c r="G139" s="13">
        <f t="shared" si="14"/>
        <v>3.66</v>
      </c>
    </row>
    <row r="140" spans="1:7" x14ac:dyDescent="0.2">
      <c r="A140" s="12">
        <f>COUNTIF(E$2:E140,E140)</f>
        <v>4</v>
      </c>
      <c r="B140" s="12">
        <v>4</v>
      </c>
      <c r="C140" s="12" t="str">
        <f t="shared" si="9"/>
        <v>James Chiriano4</v>
      </c>
      <c r="D140" s="12">
        <v>16</v>
      </c>
      <c r="E140" t="str">
        <f>+'Stage Entry'!AQ19</f>
        <v>James Chiriano</v>
      </c>
      <c r="F140" s="116">
        <f>+'Stage Entry'!AR19</f>
        <v>1.7361111111111112E-2</v>
      </c>
      <c r="G140" s="13">
        <f t="shared" si="14"/>
        <v>3.66</v>
      </c>
    </row>
    <row r="141" spans="1:7" x14ac:dyDescent="0.2">
      <c r="A141" s="12">
        <f>COUNTIF(E$2:E141,E141)</f>
        <v>4</v>
      </c>
      <c r="B141" s="12">
        <v>5</v>
      </c>
      <c r="C141" s="12" t="str">
        <f t="shared" si="9"/>
        <v>Chris Wade4</v>
      </c>
      <c r="D141" s="12">
        <v>16</v>
      </c>
      <c r="E141" t="str">
        <f>+'Stage Entry'!AQ20</f>
        <v>Chris Wade</v>
      </c>
      <c r="F141" s="116">
        <f>+'Stage Entry'!AR20</f>
        <v>1.068287037037037E-2</v>
      </c>
      <c r="G141" s="13">
        <f t="shared" si="14"/>
        <v>3.66</v>
      </c>
    </row>
    <row r="142" spans="1:7" x14ac:dyDescent="0.2">
      <c r="A142" s="12">
        <f>COUNTIF(E$2:E142,E142)</f>
        <v>4</v>
      </c>
      <c r="B142" s="12">
        <v>6</v>
      </c>
      <c r="C142" s="12" t="str">
        <f t="shared" si="9"/>
        <v>Selim Ahmed4</v>
      </c>
      <c r="D142" s="12">
        <v>16</v>
      </c>
      <c r="E142" t="str">
        <f>+'Stage Entry'!AQ21</f>
        <v>Selim Ahmed</v>
      </c>
      <c r="F142" s="116">
        <f>+'Stage Entry'!AR21</f>
        <v>1.3958333333333335E-2</v>
      </c>
      <c r="G142" s="13">
        <f t="shared" si="14"/>
        <v>3.66</v>
      </c>
    </row>
    <row r="143" spans="1:7" x14ac:dyDescent="0.2">
      <c r="A143" s="12">
        <f>COUNTIF(E$2:E143,E143)</f>
        <v>4</v>
      </c>
      <c r="B143" s="12">
        <v>7</v>
      </c>
      <c r="C143" s="12" t="str">
        <f t="shared" si="9"/>
        <v>Dale Nardella4</v>
      </c>
      <c r="D143" s="12">
        <v>16</v>
      </c>
      <c r="E143" t="str">
        <f>+'Stage Entry'!AQ22</f>
        <v>Dale Nardella</v>
      </c>
      <c r="F143" s="116">
        <f>+'Stage Entry'!AR22</f>
        <v>1.0138888888888888E-2</v>
      </c>
      <c r="G143" s="13">
        <f t="shared" si="14"/>
        <v>3.66</v>
      </c>
    </row>
    <row r="144" spans="1:7" x14ac:dyDescent="0.2">
      <c r="A144" s="12">
        <f>COUNTIF(E$2:E144,E144)</f>
        <v>4</v>
      </c>
      <c r="B144" s="12">
        <v>8</v>
      </c>
      <c r="C144" s="12" t="str">
        <f t="shared" si="9"/>
        <v>Janice De Vries4</v>
      </c>
      <c r="D144" s="12">
        <v>16</v>
      </c>
      <c r="E144" t="str">
        <f>+'Stage Entry'!AQ23</f>
        <v>Janice De Vries</v>
      </c>
      <c r="F144" s="116">
        <f>+'Stage Entry'!AR23</f>
        <v>1.0671296296296297E-2</v>
      </c>
      <c r="G144" s="13">
        <f t="shared" si="14"/>
        <v>3.66</v>
      </c>
    </row>
    <row r="145" spans="1:7" x14ac:dyDescent="0.2">
      <c r="A145" s="12">
        <f>COUNTIF(E$2:E145,E145)</f>
        <v>4</v>
      </c>
      <c r="B145" s="12">
        <v>9</v>
      </c>
      <c r="C145" s="12" t="str">
        <f t="shared" si="9"/>
        <v>Andrew Compson4</v>
      </c>
      <c r="D145" s="12">
        <v>16</v>
      </c>
      <c r="E145" t="str">
        <f>+'Stage Entry'!AQ24</f>
        <v>Andrew Compson</v>
      </c>
      <c r="F145" s="116">
        <f>+'Stage Entry'!AR24</f>
        <v>9.6759259259259264E-3</v>
      </c>
      <c r="G145" s="13">
        <f t="shared" si="14"/>
        <v>3.66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7" baseType="lpstr">
      <vt:lpstr>Team Selection</vt:lpstr>
      <vt:lpstr>Stage Entry</vt:lpstr>
      <vt:lpstr>Teams by Stage</vt:lpstr>
      <vt:lpstr>Runner Performance</vt:lpstr>
      <vt:lpstr>Data</vt:lpstr>
      <vt:lpstr>Stage-by-Stage</vt:lpstr>
      <vt:lpstr>Dist1</vt:lpstr>
      <vt:lpstr>Dist10</vt:lpstr>
      <vt:lpstr>Dist11</vt:lpstr>
      <vt:lpstr>Dist12</vt:lpstr>
      <vt:lpstr>Dist13</vt:lpstr>
      <vt:lpstr>Dist14</vt:lpstr>
      <vt:lpstr>Dist2</vt:lpstr>
      <vt:lpstr>Dist3</vt:lpstr>
      <vt:lpstr>Dist4</vt:lpstr>
      <vt:lpstr>Dist5</vt:lpstr>
      <vt:lpstr>Dist6</vt:lpstr>
      <vt:lpstr>Dist7</vt:lpstr>
      <vt:lpstr>Dist8</vt:lpstr>
      <vt:lpstr>Dist9</vt:lpstr>
      <vt:lpstr>'Stage Entry'!Print_Area</vt:lpstr>
      <vt:lpstr>'Team Selection'!Print_Area</vt:lpstr>
      <vt:lpstr>'Stage Entry'!Print_Titles</vt:lpstr>
      <vt:lpstr>Team1</vt:lpstr>
      <vt:lpstr>Team2</vt:lpstr>
      <vt:lpstr>Team3</vt:lpstr>
      <vt:lpstr>Team4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Mathews</dc:creator>
  <cp:lastModifiedBy>sfielding</cp:lastModifiedBy>
  <cp:lastPrinted>2007-11-04T21:20:19Z</cp:lastPrinted>
  <dcterms:created xsi:type="dcterms:W3CDTF">2001-03-07T08:50:40Z</dcterms:created>
  <dcterms:modified xsi:type="dcterms:W3CDTF">2017-02-13T22:26:43Z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