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985" tabRatio="478" activeTab="0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Entry'!$AC$10</definedName>
    <definedName name="Dist11">'Stage  Entry'!$AH$10</definedName>
    <definedName name="Dist12">'Stage  Entry'!$AM$10</definedName>
    <definedName name="Dist13">'Stage  Entry'!$AR$10</definedName>
    <definedName name="Dist14">'Stage  Entry'!$AW$10</definedName>
    <definedName name="Dist2">'Stage  Entry'!$X$2</definedName>
    <definedName name="Dist3">'Stage  Entry'!$AC$2</definedName>
    <definedName name="Dist4">'Stage  Entry'!$AH$2</definedName>
    <definedName name="Dist5">'Stage  Entry'!$AM$2</definedName>
    <definedName name="Dist6">'Stage  Entry'!$AR$2</definedName>
    <definedName name="Dist7">'Stage  Entry'!$AW$2</definedName>
    <definedName name="Dist8">'Stage  Entry'!$I$10</definedName>
    <definedName name="Dist9">'Stage  Entry'!$X$10</definedName>
    <definedName name="_xlnm.Print_Area" localSheetId="1">'Stage  Entry'!$A$1:$BD$16</definedName>
    <definedName name="_xlnm.Print_Area" localSheetId="0">'Team Selection'!$B$1:$J$7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Selection'!$D$7:$J$7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<sst xmlns="http://schemas.openxmlformats.org/spreadsheetml/2006/main" count="455" uniqueCount="85">
  <si>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</si>
  <si>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</si>
  <si>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</si>
  <si>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</si>
  <si>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</si>
  <si>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</si>
  <si>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</si>
  <si>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</si>
  <si>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</si>
  <si>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</si>
  <si>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</si>
  <si>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</si>
  <si>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</si>
  <si>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</si>
  <si>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</si>
  <si>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</si>
  <si>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</si>
  <si>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</si>
  <si>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</si>
  <si>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</si>
  <si>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</si>
  <si>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</si>
  <si>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</si>
  <si>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</si>
  <si>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</si>
  <si>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</si>
  <si>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</si>
  <si>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</si>
  <si>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</si>
  <si>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</si>
  <si>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</si>
  <si>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</si>
  <si>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</si>
  <si>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</si>
  <si>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</si>
  <si>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</si>
  <si>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</si>
  <si>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</si>
  <si>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</si>
  <si>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</si>
  <si>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</si>
  <si>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</si>
  <si>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</si>
  <si>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</si>
  <si>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</si>
  <si>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Jim Grelis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</si>
  <si>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</si>
  <si>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</si>
  <si>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</si>
  <si>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</si>
  <si>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</si>
  <si>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</si>
  <si>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</si>
  <si>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</si>
  <si>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</si>
  <si>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Gary O'Dwyer</t>
  </si>
  <si>
    <t>David Venour</t>
  </si>
  <si>
    <t>Anthony Lee</t>
  </si>
  <si>
    <t>Troy Williams</t>
  </si>
  <si>
    <t>Anthony Weiland</t>
  </si>
  <si>
    <t>Anthony Mithen</t>
  </si>
  <si>
    <t>Matt Sandilands</t>
  </si>
  <si>
    <t>Count Name</t>
  </si>
  <si>
    <t>Seeding Order</t>
  </si>
  <si>
    <t>Selection Metric?</t>
  </si>
  <si>
    <t>Stage 1 TT</t>
  </si>
  <si>
    <t>Stage 8 TT</t>
  </si>
  <si>
    <t>Craig Harris</t>
  </si>
  <si>
    <t>Stephen Paine</t>
  </si>
  <si>
    <t>Luke Goodman</t>
  </si>
  <si>
    <t>Glenn Goodman</t>
  </si>
  <si>
    <t>Paul Marsh</t>
  </si>
  <si>
    <t>House of Horrors</t>
  </si>
  <si>
    <t>Simon Bevage</t>
  </si>
  <si>
    <t>Patrick O'Keefe</t>
  </si>
  <si>
    <t>Luke Grima</t>
  </si>
  <si>
    <t>Sean McGaughey</t>
  </si>
  <si>
    <t>Chris Osborne</t>
  </si>
  <si>
    <t>Mike Bialczak</t>
  </si>
  <si>
    <t>Col Marson</t>
  </si>
  <si>
    <t>House of Horror</t>
  </si>
  <si>
    <t>Bevo's Bombers</t>
  </si>
  <si>
    <t>Smoothy's Debacle</t>
  </si>
  <si>
    <t>International Rules</t>
  </si>
  <si>
    <t>Forty Odd Foot of Grunt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</si>
</sst>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7" xfId="0" applyNumberFormat="1" applyFont="1" applyBorder="1" applyAlignment="1">
      <alignment horizontal="centerContinuous"/>
    </xf>
    <xf numFmtId="172" fontId="2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Continuous"/>
    </xf>
    <xf numFmtId="2" fontId="2" fillId="0" borderId="5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Continuous"/>
    </xf>
    <xf numFmtId="172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Continuous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2" fontId="4" fillId="3" borderId="0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2" fontId="5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45" fontId="2" fillId="3" borderId="0" xfId="0" applyNumberFormat="1" applyFont="1" applyFill="1" applyBorder="1" applyAlignment="1" applyProtection="1">
      <alignment horizontal="center" vertical="center"/>
      <protection/>
    </xf>
    <xf numFmtId="172" fontId="2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2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/>
      <protection/>
    </xf>
    <xf numFmtId="0" fontId="4" fillId="4" borderId="4" xfId="0" applyFont="1" applyFill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1" fontId="6" fillId="4" borderId="5" xfId="0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left" vertical="center"/>
      <protection/>
    </xf>
    <xf numFmtId="2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2" fontId="4" fillId="4" borderId="15" xfId="0" applyNumberFormat="1" applyFont="1" applyFill="1" applyBorder="1" applyAlignment="1" applyProtection="1">
      <alignment horizontal="right" vertical="center"/>
      <protection/>
    </xf>
    <xf numFmtId="0" fontId="4" fillId="4" borderId="3" xfId="0" applyFont="1" applyFill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vertical="center"/>
      <protection/>
    </xf>
    <xf numFmtId="2" fontId="5" fillId="4" borderId="5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 locked="0"/>
    </xf>
    <xf numFmtId="45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/>
    </xf>
    <xf numFmtId="0" fontId="2" fillId="4" borderId="5" xfId="0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vertical="center"/>
      <protection/>
    </xf>
    <xf numFmtId="2" fontId="5" fillId="3" borderId="0" xfId="0" applyNumberFormat="1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1" fontId="4" fillId="3" borderId="0" xfId="0" applyNumberFormat="1" applyFont="1" applyFill="1" applyAlignment="1" applyProtection="1">
      <alignment horizontal="center" vertical="center"/>
      <protection/>
    </xf>
    <xf numFmtId="2" fontId="5" fillId="3" borderId="0" xfId="0" applyNumberFormat="1" applyFont="1" applyFill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11" fillId="4" borderId="5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>
      <alignment horizontal="left" vertical="center"/>
    </xf>
    <xf numFmtId="0" fontId="2" fillId="4" borderId="16" xfId="0" applyNumberFormat="1" applyFont="1" applyFill="1" applyBorder="1" applyAlignment="1">
      <alignment horizontal="left" vertical="center"/>
    </xf>
    <xf numFmtId="45" fontId="2" fillId="4" borderId="11" xfId="0" applyNumberFormat="1" applyFont="1" applyFill="1" applyBorder="1" applyAlignment="1">
      <alignment horizontal="center" vertical="center"/>
    </xf>
    <xf numFmtId="21" fontId="2" fillId="4" borderId="12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4" fillId="4" borderId="9" xfId="0" applyNumberFormat="1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Continuous" vertical="center"/>
    </xf>
    <xf numFmtId="0" fontId="4" fillId="4" borderId="15" xfId="0" applyFont="1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/>
    </xf>
    <xf numFmtId="0" fontId="0" fillId="4" borderId="17" xfId="0" applyNumberFormat="1" applyFill="1" applyBorder="1" applyAlignment="1">
      <alignment horizontal="center"/>
    </xf>
    <xf numFmtId="172" fontId="0" fillId="4" borderId="18" xfId="0" applyNumberForma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 vertical="center"/>
    </xf>
    <xf numFmtId="0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72" fontId="13" fillId="3" borderId="0" xfId="0" applyNumberFormat="1" applyFont="1" applyFill="1" applyAlignment="1">
      <alignment horizontal="center"/>
    </xf>
    <xf numFmtId="0" fontId="12" fillId="4" borderId="5" xfId="0" applyFont="1" applyFill="1" applyBorder="1" applyAlignment="1" applyProtection="1">
      <alignment horizontal="center" vertical="center"/>
      <protection/>
    </xf>
    <xf numFmtId="2" fontId="12" fillId="4" borderId="15" xfId="0" applyNumberFormat="1" applyFont="1" applyFill="1" applyBorder="1" applyAlignment="1" applyProtection="1">
      <alignment horizontal="right" vertical="center"/>
      <protection/>
    </xf>
    <xf numFmtId="0" fontId="12" fillId="4" borderId="3" xfId="0" applyFont="1" applyFill="1" applyBorder="1" applyAlignment="1" applyProtection="1">
      <alignment horizontal="left" vertical="center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2" fillId="4" borderId="5" xfId="0" applyFont="1" applyFill="1" applyBorder="1" applyAlignment="1" applyProtection="1">
      <alignment vertical="center"/>
      <protection/>
    </xf>
    <xf numFmtId="2" fontId="10" fillId="4" borderId="5" xfId="0" applyNumberFormat="1" applyFont="1" applyFill="1" applyBorder="1" applyAlignment="1" applyProtection="1">
      <alignment horizontal="center" vertical="center"/>
      <protection/>
    </xf>
    <xf numFmtId="0" fontId="16" fillId="4" borderId="5" xfId="0" applyFont="1" applyFill="1" applyBorder="1" applyAlignment="1" applyProtection="1">
      <alignment horizontal="center" vertical="center"/>
      <protection/>
    </xf>
    <xf numFmtId="0" fontId="16" fillId="4" borderId="9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vertical="center"/>
      <protection locked="0"/>
    </xf>
    <xf numFmtId="45" fontId="10" fillId="4" borderId="11" xfId="0" applyNumberFormat="1" applyFont="1" applyFill="1" applyBorder="1" applyAlignment="1" applyProtection="1">
      <alignment horizontal="center" vertical="center"/>
      <protection locked="0"/>
    </xf>
    <xf numFmtId="172" fontId="10" fillId="2" borderId="11" xfId="0" applyNumberFormat="1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/>
      <protection/>
    </xf>
    <xf numFmtId="2" fontId="10" fillId="3" borderId="0" xfId="0" applyNumberFormat="1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2" fontId="10" fillId="3" borderId="0" xfId="0" applyNumberFormat="1" applyFont="1" applyFill="1" applyAlignment="1" applyProtection="1">
      <alignment/>
      <protection/>
    </xf>
    <xf numFmtId="45" fontId="10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" fillId="4" borderId="4" xfId="0" applyFont="1" applyFill="1" applyBorder="1" applyAlignment="1" applyProtection="1">
      <alignment horizontal="left" vertical="center"/>
      <protection/>
    </xf>
    <xf numFmtId="45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'Teams by Stage'!$AS$11</c:f>
              <c:strCache>
                <c:ptCount val="1"/>
                <c:pt idx="0">
                  <c:v>House of Horrors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Stage'!$AT$11:$BG$11</c:f>
              <c:numCache>
                <c:ptCount val="14"/>
                <c:pt idx="0">
                  <c:v>0.0005439814814814821</c:v>
                </c:pt>
                <c:pt idx="1">
                  <c:v>0.0011574074074074056</c:v>
                </c:pt>
                <c:pt idx="2">
                  <c:v>0.0010069444444444423</c:v>
                </c:pt>
                <c:pt idx="3">
                  <c:v>0.002083333333333333</c:v>
                </c:pt>
                <c:pt idx="4">
                  <c:v>0.0017129629629629647</c:v>
                </c:pt>
                <c:pt idx="5">
                  <c:v>0.0026273148148148046</c:v>
                </c:pt>
                <c:pt idx="6">
                  <c:v>0.0022800925925925836</c:v>
                </c:pt>
                <c:pt idx="7">
                  <c:v>0.002615740740740724</c:v>
                </c:pt>
                <c:pt idx="8">
                  <c:v>0.0020717592592592315</c:v>
                </c:pt>
                <c:pt idx="9">
                  <c:v>0.0035069444444444237</c:v>
                </c:pt>
                <c:pt idx="10">
                  <c:v>0.0036689814814814398</c:v>
                </c:pt>
                <c:pt idx="11">
                  <c:v>0.002835648148148101</c:v>
                </c:pt>
                <c:pt idx="12">
                  <c:v>0.00473379629629625</c:v>
                </c:pt>
                <c:pt idx="13">
                  <c:v>0.0050115740740740156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Stage'!$AS$12</c:f>
              <c:strCache>
                <c:ptCount val="1"/>
                <c:pt idx="0">
                  <c:v>Bevo's Bombers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Stage'!$AT$12:$BG$12</c:f>
              <c:numCache>
                <c:ptCount val="14"/>
                <c:pt idx="0">
                  <c:v>0.0009143518518518537</c:v>
                </c:pt>
                <c:pt idx="1">
                  <c:v>0.0009953703703703687</c:v>
                </c:pt>
                <c:pt idx="2">
                  <c:v>0.0005787037037036993</c:v>
                </c:pt>
                <c:pt idx="3">
                  <c:v>0.0004976851851851843</c:v>
                </c:pt>
                <c:pt idx="4">
                  <c:v>0.0014814814814814795</c:v>
                </c:pt>
                <c:pt idx="5">
                  <c:v>0.001759259259259252</c:v>
                </c:pt>
                <c:pt idx="6">
                  <c:v>0.0012962962962962815</c:v>
                </c:pt>
                <c:pt idx="7">
                  <c:v>0.0011458333333333182</c:v>
                </c:pt>
                <c:pt idx="8">
                  <c:v>0.0008564814814814581</c:v>
                </c:pt>
                <c:pt idx="9">
                  <c:v>0.0026851851851851655</c:v>
                </c:pt>
                <c:pt idx="10">
                  <c:v>0.0026041666666666435</c:v>
                </c:pt>
                <c:pt idx="11">
                  <c:v>0.004849537037037027</c:v>
                </c:pt>
                <c:pt idx="12">
                  <c:v>0.004930555555555549</c:v>
                </c:pt>
                <c:pt idx="13">
                  <c:v>0.0038773148148148195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Stage'!$AS$13</c:f>
              <c:strCache>
                <c:ptCount val="1"/>
                <c:pt idx="0">
                  <c:v>Smoothy's Debacle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Stage'!$AT$13:$BG$13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0.0003009259259259267</c:v>
                </c:pt>
                <c:pt idx="6">
                  <c:v>0</c:v>
                </c:pt>
                <c:pt idx="7">
                  <c:v>8.101851851852193E-05</c:v>
                </c:pt>
                <c:pt idx="8">
                  <c:v>0</c:v>
                </c:pt>
                <c:pt idx="9">
                  <c:v>0.00010416666666668295</c:v>
                </c:pt>
                <c:pt idx="10">
                  <c:v>0.00017361111111112437</c:v>
                </c:pt>
                <c:pt idx="11">
                  <c:v>0.00023148148148149916</c:v>
                </c:pt>
                <c:pt idx="12">
                  <c:v>0.0005324074074074259</c:v>
                </c:pt>
                <c:pt idx="13">
                  <c:v>0.00015046296296297723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Stage'!$AS$14</c:f>
              <c:strCache>
                <c:ptCount val="1"/>
                <c:pt idx="0">
                  <c:v>International Rules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'Teams by Stage'!$AT$14:$BG$14</c:f>
              <c:numCache>
                <c:ptCount val="14"/>
                <c:pt idx="0">
                  <c:v>0.00039351851851851874</c:v>
                </c:pt>
                <c:pt idx="1">
                  <c:v>0.000439814814814813</c:v>
                </c:pt>
                <c:pt idx="2">
                  <c:v>0.00031249999999999334</c:v>
                </c:pt>
                <c:pt idx="3">
                  <c:v>0.000694444444444442</c:v>
                </c:pt>
                <c:pt idx="4">
                  <c:v>0.0003009259259259267</c:v>
                </c:pt>
                <c:pt idx="5">
                  <c:v>0</c:v>
                </c:pt>
                <c:pt idx="6">
                  <c:v>0.000347222222222221</c:v>
                </c:pt>
                <c:pt idx="7">
                  <c:v>0</c:v>
                </c:pt>
                <c:pt idx="8">
                  <c:v>8.101851851850805E-05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Stage'!$AS$15</c:f>
              <c:strCache>
                <c:ptCount val="1"/>
                <c:pt idx="0">
                  <c:v>Forty Odd Foot of Grunt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'Teams by Stage'!$AT$15:$BG$15</c:f>
              <c:numCache>
                <c:ptCount val="14"/>
                <c:pt idx="0">
                  <c:v>0.0008217592592592617</c:v>
                </c:pt>
                <c:pt idx="1">
                  <c:v>0.00048611111111111077</c:v>
                </c:pt>
                <c:pt idx="2">
                  <c:v>0.0006828703703703684</c:v>
                </c:pt>
                <c:pt idx="3">
                  <c:v>0.0009953703703703687</c:v>
                </c:pt>
                <c:pt idx="4">
                  <c:v>0.0014236111111111116</c:v>
                </c:pt>
                <c:pt idx="5">
                  <c:v>0.0008333333333333248</c:v>
                </c:pt>
                <c:pt idx="6">
                  <c:v>0.0010763888888888767</c:v>
                </c:pt>
                <c:pt idx="7">
                  <c:v>0.0006365740740740533</c:v>
                </c:pt>
                <c:pt idx="8">
                  <c:v>0.0014930555555555253</c:v>
                </c:pt>
                <c:pt idx="9">
                  <c:v>0.0022222222222222088</c:v>
                </c:pt>
                <c:pt idx="10">
                  <c:v>0.0029513888888888645</c:v>
                </c:pt>
                <c:pt idx="11">
                  <c:v>0.004432870370370351</c:v>
                </c:pt>
                <c:pt idx="12">
                  <c:v>0.005254629629629609</c:v>
                </c:pt>
                <c:pt idx="13">
                  <c:v>0.005740740740740713</c:v>
                </c:pt>
              </c:numCache>
            </c:numRef>
          </c:val>
          <c:smooth val="0"/>
        </c:ser>
        <c:marker val="1"/>
        <c:axId val="63484518"/>
        <c:axId val="34489751"/>
      </c:lineChart>
      <c:catAx>
        <c:axId val="63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9751"/>
        <c:crosses val="autoZero"/>
        <c:auto val="1"/>
        <c:lblOffset val="100"/>
        <c:noMultiLvlLbl val="0"/>
      </c:catAx>
      <c:valAx>
        <c:axId val="3448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63484518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K2" sqref="K2"/>
    </sheetView>
  </sheetViews>
  <sheetFormatPr defaultColWidth="9.140625" defaultRowHeight="12.75"/>
  <cols>
    <col min="1" max="1" width="3.421875" style="139" customWidth="1"/>
    <col min="2" max="2" width="29.8515625" style="140" customWidth="1"/>
    <col min="3" max="3" width="4.7109375" style="140" customWidth="1"/>
    <col min="4" max="4" width="20.7109375" style="139" customWidth="1"/>
    <col min="5" max="5" width="4.7109375" style="140" customWidth="1"/>
    <col min="6" max="6" width="20.7109375" style="139" customWidth="1"/>
    <col min="7" max="7" width="4.7109375" style="140" customWidth="1"/>
    <col min="8" max="8" width="20.7109375" style="139" customWidth="1"/>
    <col min="9" max="9" width="4.7109375" style="140" customWidth="1"/>
    <col min="10" max="10" width="20.7109375" style="139" customWidth="1"/>
    <col min="11" max="11" width="17.421875" style="139" customWidth="1"/>
    <col min="12" max="16" width="9.140625" style="139" customWidth="1"/>
    <col min="17" max="16384" width="9.140625" style="141" customWidth="1"/>
  </cols>
  <sheetData>
    <row r="1" spans="1:16" s="142" customFormat="1" ht="12.75">
      <c r="A1" s="31"/>
      <c r="B1" s="32"/>
      <c r="C1" s="32"/>
      <c r="D1" s="31"/>
      <c r="E1" s="32"/>
      <c r="F1" s="31"/>
      <c r="G1" s="32"/>
      <c r="H1" s="31"/>
      <c r="I1" s="32"/>
      <c r="J1" s="31"/>
      <c r="K1" s="31"/>
      <c r="L1" s="31"/>
      <c r="M1" s="31"/>
      <c r="N1" s="31"/>
      <c r="O1" s="31"/>
      <c r="P1" s="31"/>
    </row>
    <row r="2" spans="1:16" s="143" customFormat="1" ht="19.5" customHeight="1">
      <c r="A2" s="37"/>
      <c r="B2" s="39" t="s">
        <v>44</v>
      </c>
      <c r="C2" s="40" t="s">
        <v>4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158" t="s">
        <v>64</v>
      </c>
      <c r="L2" s="37"/>
      <c r="M2" s="37"/>
      <c r="N2" s="37"/>
      <c r="O2" s="37"/>
      <c r="P2" s="37"/>
    </row>
    <row r="3" spans="1:16" s="144" customFormat="1" ht="18.75" customHeight="1">
      <c r="A3" s="38"/>
      <c r="B3" s="161" t="s">
        <v>72</v>
      </c>
      <c r="C3" s="156">
        <v>1</v>
      </c>
      <c r="D3" s="42" t="str">
        <f>VLOOKUP(C3,$I$10:$J$37,2,FALSE)</f>
        <v>Stephen Paine</v>
      </c>
      <c r="E3" s="41">
        <v>10</v>
      </c>
      <c r="F3" s="42" t="str">
        <f>VLOOKUP(E3,$I$10:$J$37,2,FALSE)</f>
        <v>Paul Marsh</v>
      </c>
      <c r="G3" s="41">
        <v>11</v>
      </c>
      <c r="H3" s="42" t="str">
        <f>VLOOKUP(G3,$I$10:$J$37,2,FALSE)</f>
        <v>Glenn Goodman</v>
      </c>
      <c r="I3" s="41">
        <v>20</v>
      </c>
      <c r="J3" s="157" t="str">
        <f>VLOOKUP(I3,$I$10:$J$37,2,FALSE)</f>
        <v>Jim Grelis</v>
      </c>
      <c r="K3" s="159">
        <f>+C3+E3+G3+I3</f>
        <v>42</v>
      </c>
      <c r="L3" s="37"/>
      <c r="M3" s="38"/>
      <c r="N3" s="38"/>
      <c r="O3" s="38"/>
      <c r="P3" s="38"/>
    </row>
    <row r="4" spans="1:16" s="144" customFormat="1" ht="18.75" customHeight="1">
      <c r="A4" s="38"/>
      <c r="B4" s="161" t="s">
        <v>81</v>
      </c>
      <c r="C4" s="156">
        <v>2</v>
      </c>
      <c r="D4" s="42" t="str">
        <f>VLOOKUP(C4,$I$10:$J$37,2,FALSE)</f>
        <v>Simon Bevage</v>
      </c>
      <c r="E4" s="41">
        <v>9</v>
      </c>
      <c r="F4" s="42" t="str">
        <f>VLOOKUP(E4,$I$10:$J$37,2,FALSE)</f>
        <v>Matt Sandilands</v>
      </c>
      <c r="G4" s="41">
        <v>12</v>
      </c>
      <c r="H4" s="42" t="str">
        <f>VLOOKUP(G4,$I$10:$J$37,2,FALSE)</f>
        <v>Craig Harris</v>
      </c>
      <c r="I4" s="41">
        <v>18</v>
      </c>
      <c r="J4" s="157" t="str">
        <f>VLOOKUP(I4,$I$10:$J$37,2,FALSE)</f>
        <v>Col Marson</v>
      </c>
      <c r="K4" s="159">
        <f>+C4+E4+G4+I4</f>
        <v>41</v>
      </c>
      <c r="L4" s="37"/>
      <c r="M4" s="38"/>
      <c r="N4" s="38"/>
      <c r="O4" s="38"/>
      <c r="P4" s="38"/>
    </row>
    <row r="5" spans="1:16" s="144" customFormat="1" ht="18.75" customHeight="1">
      <c r="A5" s="38"/>
      <c r="B5" s="161" t="s">
        <v>82</v>
      </c>
      <c r="C5" s="156">
        <v>3</v>
      </c>
      <c r="D5" s="42" t="str">
        <f>VLOOKUP(C5,$I$10:$J$37,2,FALSE)</f>
        <v>David Venour</v>
      </c>
      <c r="E5" s="41">
        <v>8</v>
      </c>
      <c r="F5" s="42" t="str">
        <f>VLOOKUP(E5,$I$10:$J$37,2,FALSE)</f>
        <v>Patrick O'Keefe</v>
      </c>
      <c r="G5" s="41">
        <v>14</v>
      </c>
      <c r="H5" s="42" t="str">
        <f>VLOOKUP(G5,$I$10:$J$37,2,FALSE)</f>
        <v>Gary O'Dwyer</v>
      </c>
      <c r="I5" s="41">
        <v>13</v>
      </c>
      <c r="J5" s="157" t="str">
        <f>VLOOKUP(I5,$I$10:$J$37,2,FALSE)</f>
        <v>Luke Goodman</v>
      </c>
      <c r="K5" s="159">
        <f>+C5+E5+G5+I5</f>
        <v>38</v>
      </c>
      <c r="L5" s="37"/>
      <c r="M5" s="38"/>
      <c r="N5" s="38"/>
      <c r="O5" s="38"/>
      <c r="P5" s="38"/>
    </row>
    <row r="6" spans="1:16" s="144" customFormat="1" ht="18.75" customHeight="1">
      <c r="A6" s="38"/>
      <c r="B6" s="161" t="s">
        <v>83</v>
      </c>
      <c r="C6" s="156">
        <v>4</v>
      </c>
      <c r="D6" s="42" t="str">
        <f>VLOOKUP(C6,$I$10:$J$37,2,FALSE)</f>
        <v>Anthony Lee</v>
      </c>
      <c r="E6" s="41">
        <v>6</v>
      </c>
      <c r="F6" s="42" t="str">
        <f>VLOOKUP(E6,$I$10:$J$37,2,FALSE)</f>
        <v>Troy Williams</v>
      </c>
      <c r="G6" s="41">
        <v>15</v>
      </c>
      <c r="H6" s="42" t="str">
        <f>VLOOKUP(G6,$I$10:$J$37,2,FALSE)</f>
        <v>Luke Grima</v>
      </c>
      <c r="I6" s="41">
        <v>16</v>
      </c>
      <c r="J6" s="157" t="str">
        <f>VLOOKUP(I6,$I$10:$J$37,2,FALSE)</f>
        <v>Sean McGaughey</v>
      </c>
      <c r="K6" s="159">
        <f>+C6+E6+G6+I6</f>
        <v>41</v>
      </c>
      <c r="L6" s="160"/>
      <c r="M6" s="38"/>
      <c r="N6" s="38"/>
      <c r="O6" s="38"/>
      <c r="P6" s="38"/>
    </row>
    <row r="7" spans="1:16" s="144" customFormat="1" ht="18.75" customHeight="1">
      <c r="A7" s="38"/>
      <c r="B7" s="161" t="s">
        <v>84</v>
      </c>
      <c r="C7" s="156">
        <v>5</v>
      </c>
      <c r="D7" s="42" t="str">
        <f>VLOOKUP(C7,$I$10:$J$37,2,FALSE)</f>
        <v>Anthony Weiland</v>
      </c>
      <c r="E7" s="41">
        <v>7</v>
      </c>
      <c r="F7" s="42" t="str">
        <f>VLOOKUP(E7,$I$10:$J$37,2,FALSE)</f>
        <v>Anthony Mithen</v>
      </c>
      <c r="G7" s="41">
        <v>17</v>
      </c>
      <c r="H7" s="42" t="str">
        <f>VLOOKUP(G7,$I$10:$J$37,2,FALSE)</f>
        <v>Chris Osborne</v>
      </c>
      <c r="I7" s="41">
        <v>19</v>
      </c>
      <c r="J7" s="157" t="str">
        <f>VLOOKUP(I7,$I$10:$J$37,2,FALSE)</f>
        <v>Mike Bialczak</v>
      </c>
      <c r="K7" s="159">
        <f>+C7+E7+G7+I7</f>
        <v>48</v>
      </c>
      <c r="L7" s="37"/>
      <c r="M7" s="38"/>
      <c r="N7" s="38"/>
      <c r="O7" s="38"/>
      <c r="P7" s="38"/>
    </row>
    <row r="8" spans="1:16" ht="12.75">
      <c r="A8" s="33"/>
      <c r="B8" s="43"/>
      <c r="C8" s="33"/>
      <c r="D8" s="33"/>
      <c r="E8" s="35"/>
      <c r="F8" s="33"/>
      <c r="G8" s="35"/>
      <c r="H8" s="33"/>
      <c r="I8" s="35"/>
      <c r="J8" s="33"/>
      <c r="K8" s="33"/>
      <c r="L8" s="33"/>
      <c r="M8" s="33"/>
      <c r="N8" s="33"/>
      <c r="O8" s="33"/>
      <c r="P8" s="33"/>
    </row>
    <row r="9" spans="1:16" ht="12.75">
      <c r="A9" s="33"/>
      <c r="B9" s="43"/>
      <c r="C9" s="33"/>
      <c r="D9" s="33"/>
      <c r="E9" s="35"/>
      <c r="F9" s="33"/>
      <c r="G9" s="35"/>
      <c r="H9" s="33"/>
      <c r="I9" s="163" t="s">
        <v>63</v>
      </c>
      <c r="J9" s="163"/>
      <c r="K9" s="33"/>
      <c r="L9" s="33"/>
      <c r="M9" s="33"/>
      <c r="N9" s="33"/>
      <c r="O9" s="33"/>
      <c r="P9" s="33"/>
    </row>
    <row r="10" spans="1:16" ht="12.75">
      <c r="A10" s="33"/>
      <c r="B10" s="43"/>
      <c r="C10" s="33"/>
      <c r="D10" s="33"/>
      <c r="E10" s="35"/>
      <c r="F10" s="33"/>
      <c r="G10" s="35"/>
      <c r="H10" s="33"/>
      <c r="I10" s="44">
        <v>1</v>
      </c>
      <c r="J10" s="45" t="s">
        <v>68</v>
      </c>
      <c r="K10" s="33"/>
      <c r="L10" s="33"/>
      <c r="M10" s="33"/>
      <c r="N10" s="33"/>
      <c r="O10" s="33"/>
      <c r="P10" s="33"/>
    </row>
    <row r="11" spans="1:16" ht="12.75">
      <c r="A11" s="33"/>
      <c r="B11" s="43"/>
      <c r="C11" s="33"/>
      <c r="D11" s="33"/>
      <c r="E11" s="35"/>
      <c r="F11" s="33"/>
      <c r="G11" s="35"/>
      <c r="H11" s="33"/>
      <c r="I11" s="44">
        <v>2</v>
      </c>
      <c r="J11" s="45" t="s">
        <v>73</v>
      </c>
      <c r="K11" s="33"/>
      <c r="L11" s="33"/>
      <c r="M11" s="33"/>
      <c r="N11" s="33"/>
      <c r="O11" s="33"/>
      <c r="P11" s="33"/>
    </row>
    <row r="12" spans="1:16" ht="12.75">
      <c r="A12" s="33"/>
      <c r="B12" s="43"/>
      <c r="C12" s="33"/>
      <c r="D12" s="33"/>
      <c r="E12" s="35"/>
      <c r="F12" s="33"/>
      <c r="G12" s="35"/>
      <c r="H12" s="33"/>
      <c r="I12" s="44">
        <v>3</v>
      </c>
      <c r="J12" s="45" t="s">
        <v>56</v>
      </c>
      <c r="K12" s="33"/>
      <c r="L12" s="33"/>
      <c r="M12" s="33"/>
      <c r="N12" s="33"/>
      <c r="O12" s="33"/>
      <c r="P12" s="33"/>
    </row>
    <row r="13" spans="1:16" ht="12.75">
      <c r="A13" s="33"/>
      <c r="B13" s="43"/>
      <c r="C13" s="33"/>
      <c r="D13" s="33"/>
      <c r="E13" s="35"/>
      <c r="F13" s="33"/>
      <c r="G13" s="35"/>
      <c r="H13" s="33"/>
      <c r="I13" s="44">
        <v>4</v>
      </c>
      <c r="J13" s="45" t="s">
        <v>57</v>
      </c>
      <c r="K13" s="33"/>
      <c r="L13" s="33"/>
      <c r="M13" s="33"/>
      <c r="N13" s="33"/>
      <c r="O13" s="33"/>
      <c r="P13" s="33"/>
    </row>
    <row r="14" spans="1:16" ht="12.75">
      <c r="A14" s="33"/>
      <c r="B14" s="43"/>
      <c r="C14" s="33"/>
      <c r="D14" s="33"/>
      <c r="E14" s="35"/>
      <c r="F14" s="33"/>
      <c r="G14" s="35"/>
      <c r="H14" s="33"/>
      <c r="I14" s="44">
        <v>5</v>
      </c>
      <c r="J14" s="45" t="s">
        <v>59</v>
      </c>
      <c r="K14" s="33"/>
      <c r="L14" s="33"/>
      <c r="M14" s="33"/>
      <c r="N14" s="33"/>
      <c r="O14" s="33"/>
      <c r="P14" s="33"/>
    </row>
    <row r="15" spans="1:16" ht="12.75">
      <c r="A15" s="33"/>
      <c r="B15" s="43"/>
      <c r="C15" s="33"/>
      <c r="D15" s="33"/>
      <c r="E15" s="35"/>
      <c r="F15" s="33"/>
      <c r="G15" s="35"/>
      <c r="H15" s="33"/>
      <c r="I15" s="44">
        <v>6</v>
      </c>
      <c r="J15" s="45" t="s">
        <v>58</v>
      </c>
      <c r="K15" s="33"/>
      <c r="L15" s="33"/>
      <c r="M15" s="33"/>
      <c r="N15" s="33"/>
      <c r="O15" s="33"/>
      <c r="P15" s="33"/>
    </row>
    <row r="16" spans="1:16" ht="12.75">
      <c r="A16" s="33"/>
      <c r="B16" s="43"/>
      <c r="C16" s="33"/>
      <c r="D16" s="33"/>
      <c r="E16" s="35"/>
      <c r="F16" s="33"/>
      <c r="G16" s="35"/>
      <c r="H16" s="33"/>
      <c r="I16" s="44">
        <v>7</v>
      </c>
      <c r="J16" s="45" t="s">
        <v>60</v>
      </c>
      <c r="K16" s="33"/>
      <c r="L16" s="33"/>
      <c r="M16" s="33"/>
      <c r="N16" s="33"/>
      <c r="O16" s="33"/>
      <c r="P16" s="33"/>
    </row>
    <row r="17" spans="1:16" ht="12.75">
      <c r="A17" s="33"/>
      <c r="B17" s="43"/>
      <c r="C17" s="33"/>
      <c r="D17" s="33"/>
      <c r="E17" s="35"/>
      <c r="F17" s="33"/>
      <c r="G17" s="35"/>
      <c r="H17" s="33"/>
      <c r="I17" s="44">
        <v>8</v>
      </c>
      <c r="J17" s="45" t="s">
        <v>74</v>
      </c>
      <c r="K17" s="33"/>
      <c r="L17" s="33"/>
      <c r="M17" s="33"/>
      <c r="N17" s="33"/>
      <c r="O17" s="33"/>
      <c r="P17" s="33"/>
    </row>
    <row r="18" spans="1:16" ht="12.75">
      <c r="A18" s="33"/>
      <c r="B18" s="43"/>
      <c r="C18" s="33"/>
      <c r="D18" s="33"/>
      <c r="E18" s="35"/>
      <c r="F18" s="33"/>
      <c r="G18" s="35"/>
      <c r="H18" s="33"/>
      <c r="I18" s="44">
        <v>9</v>
      </c>
      <c r="J18" s="45" t="s">
        <v>61</v>
      </c>
      <c r="K18" s="33"/>
      <c r="L18" s="33"/>
      <c r="M18" s="33"/>
      <c r="N18" s="33"/>
      <c r="O18" s="33"/>
      <c r="P18" s="33"/>
    </row>
    <row r="19" spans="1:16" ht="12.75">
      <c r="A19" s="33"/>
      <c r="B19" s="43"/>
      <c r="C19" s="33"/>
      <c r="D19" s="33"/>
      <c r="E19" s="35"/>
      <c r="F19" s="33"/>
      <c r="G19" s="35"/>
      <c r="H19" s="33"/>
      <c r="I19" s="44">
        <v>10</v>
      </c>
      <c r="J19" s="45" t="s">
        <v>71</v>
      </c>
      <c r="K19" s="33"/>
      <c r="L19" s="33"/>
      <c r="M19" s="33"/>
      <c r="N19" s="33"/>
      <c r="O19" s="33"/>
      <c r="P19" s="33"/>
    </row>
    <row r="20" spans="1:16" ht="12.75">
      <c r="A20" s="33"/>
      <c r="B20" s="43"/>
      <c r="C20" s="33"/>
      <c r="D20" s="33"/>
      <c r="E20" s="35"/>
      <c r="F20" s="33"/>
      <c r="G20" s="35"/>
      <c r="H20" s="33"/>
      <c r="I20" s="44">
        <v>11</v>
      </c>
      <c r="J20" s="45" t="s">
        <v>70</v>
      </c>
      <c r="K20" s="33"/>
      <c r="L20" s="33"/>
      <c r="M20" s="33"/>
      <c r="N20" s="33"/>
      <c r="O20" s="33"/>
      <c r="P20" s="33"/>
    </row>
    <row r="21" spans="1:16" ht="12.75">
      <c r="A21" s="33"/>
      <c r="B21" s="43"/>
      <c r="C21" s="33"/>
      <c r="D21" s="33"/>
      <c r="E21" s="35"/>
      <c r="F21" s="33"/>
      <c r="G21" s="35"/>
      <c r="H21" s="33"/>
      <c r="I21" s="44">
        <v>12</v>
      </c>
      <c r="J21" s="45" t="s">
        <v>67</v>
      </c>
      <c r="K21" s="33"/>
      <c r="L21" s="33"/>
      <c r="M21" s="33"/>
      <c r="N21" s="33"/>
      <c r="O21" s="33"/>
      <c r="P21" s="33"/>
    </row>
    <row r="22" spans="1:16" ht="12.75">
      <c r="A22" s="33"/>
      <c r="B22" s="34"/>
      <c r="C22" s="35"/>
      <c r="D22" s="33"/>
      <c r="E22" s="35"/>
      <c r="F22" s="33"/>
      <c r="G22" s="35"/>
      <c r="H22" s="33"/>
      <c r="I22" s="44">
        <v>13</v>
      </c>
      <c r="J22" s="45" t="s">
        <v>69</v>
      </c>
      <c r="K22" s="33"/>
      <c r="L22" s="33"/>
      <c r="M22" s="33"/>
      <c r="N22" s="33"/>
      <c r="O22" s="33"/>
      <c r="P22" s="33"/>
    </row>
    <row r="23" spans="1:16" ht="12.75">
      <c r="A23" s="33"/>
      <c r="B23" s="34"/>
      <c r="C23" s="35"/>
      <c r="D23" s="33"/>
      <c r="E23" s="35"/>
      <c r="F23" s="33"/>
      <c r="G23" s="35"/>
      <c r="H23" s="33"/>
      <c r="I23" s="44">
        <v>14</v>
      </c>
      <c r="J23" s="45" t="s">
        <v>55</v>
      </c>
      <c r="K23" s="33"/>
      <c r="L23" s="33"/>
      <c r="M23" s="33"/>
      <c r="N23" s="33"/>
      <c r="O23" s="33"/>
      <c r="P23" s="33"/>
    </row>
    <row r="24" spans="1:16" ht="12.75">
      <c r="A24" s="33"/>
      <c r="B24" s="34"/>
      <c r="C24" s="35"/>
      <c r="D24" s="33"/>
      <c r="E24" s="35"/>
      <c r="F24" s="33"/>
      <c r="G24" s="35"/>
      <c r="H24" s="33"/>
      <c r="I24" s="44">
        <v>15</v>
      </c>
      <c r="J24" s="45" t="s">
        <v>75</v>
      </c>
      <c r="K24" s="33"/>
      <c r="L24" s="33"/>
      <c r="M24" s="33"/>
      <c r="N24" s="33"/>
      <c r="O24" s="33"/>
      <c r="P24" s="33"/>
    </row>
    <row r="25" spans="1:16" ht="12.75">
      <c r="A25" s="33"/>
      <c r="B25" s="35"/>
      <c r="C25" s="35"/>
      <c r="D25" s="33"/>
      <c r="E25" s="35"/>
      <c r="F25" s="33"/>
      <c r="G25" s="35"/>
      <c r="H25" s="33"/>
      <c r="I25" s="44">
        <v>16</v>
      </c>
      <c r="J25" s="45" t="s">
        <v>76</v>
      </c>
      <c r="K25" s="33"/>
      <c r="L25" s="33"/>
      <c r="M25" s="33"/>
      <c r="N25" s="33"/>
      <c r="O25" s="33"/>
      <c r="P25" s="33"/>
    </row>
    <row r="26" spans="1:16" ht="12.75">
      <c r="A26" s="33"/>
      <c r="B26" s="35"/>
      <c r="C26" s="35"/>
      <c r="D26" s="33"/>
      <c r="E26" s="35"/>
      <c r="F26" s="33"/>
      <c r="G26" s="35"/>
      <c r="H26" s="33"/>
      <c r="I26" s="44">
        <v>17</v>
      </c>
      <c r="J26" s="45" t="s">
        <v>77</v>
      </c>
      <c r="K26" s="33"/>
      <c r="L26" s="33"/>
      <c r="M26" s="33"/>
      <c r="N26" s="33"/>
      <c r="O26" s="33"/>
      <c r="P26" s="33"/>
    </row>
    <row r="27" spans="1:16" ht="12.75">
      <c r="A27" s="33"/>
      <c r="B27" s="35"/>
      <c r="C27" s="35"/>
      <c r="D27" s="33"/>
      <c r="E27" s="35"/>
      <c r="F27" s="33"/>
      <c r="G27" s="35"/>
      <c r="H27" s="33"/>
      <c r="I27" s="44">
        <v>18</v>
      </c>
      <c r="J27" s="45" t="s">
        <v>79</v>
      </c>
      <c r="K27" s="33"/>
      <c r="L27" s="33"/>
      <c r="M27" s="33"/>
      <c r="N27" s="33"/>
      <c r="O27" s="33"/>
      <c r="P27" s="33"/>
    </row>
    <row r="28" spans="1:16" ht="12.75">
      <c r="A28" s="33"/>
      <c r="B28" s="35"/>
      <c r="C28" s="35"/>
      <c r="D28" s="33"/>
      <c r="E28" s="35"/>
      <c r="F28" s="33"/>
      <c r="G28" s="35"/>
      <c r="H28" s="33"/>
      <c r="I28" s="44">
        <v>19</v>
      </c>
      <c r="J28" s="45" t="s">
        <v>78</v>
      </c>
      <c r="K28" s="33"/>
      <c r="L28" s="33"/>
      <c r="M28" s="33"/>
      <c r="N28" s="33"/>
      <c r="O28" s="33"/>
      <c r="P28" s="33"/>
    </row>
    <row r="29" spans="1:16" ht="12.75">
      <c r="A29" s="33"/>
      <c r="B29" s="35"/>
      <c r="C29" s="35"/>
      <c r="D29" s="36"/>
      <c r="E29" s="35"/>
      <c r="F29" s="36"/>
      <c r="G29" s="35"/>
      <c r="H29" s="33"/>
      <c r="I29" s="44">
        <v>20</v>
      </c>
      <c r="J29" s="45" t="s">
        <v>45</v>
      </c>
      <c r="K29" s="33"/>
      <c r="L29" s="33"/>
      <c r="M29" s="33"/>
      <c r="N29" s="33"/>
      <c r="O29" s="33"/>
      <c r="P29" s="33"/>
    </row>
    <row r="30" spans="1:16" ht="12.75">
      <c r="A30" s="33"/>
      <c r="B30" s="35"/>
      <c r="C30" s="35"/>
      <c r="D30" s="36"/>
      <c r="E30" s="35"/>
      <c r="F30" s="36"/>
      <c r="G30" s="35"/>
      <c r="H30" s="33"/>
      <c r="I30" s="44"/>
      <c r="J30" s="45"/>
      <c r="K30" s="33"/>
      <c r="L30" s="33"/>
      <c r="M30" s="33"/>
      <c r="N30" s="33"/>
      <c r="O30" s="33"/>
      <c r="P30" s="33"/>
    </row>
    <row r="31" spans="1:16" ht="12.75">
      <c r="A31" s="33"/>
      <c r="B31" s="35"/>
      <c r="C31" s="35"/>
      <c r="D31" s="36"/>
      <c r="E31" s="35"/>
      <c r="F31" s="36"/>
      <c r="G31" s="35"/>
      <c r="H31" s="33"/>
      <c r="I31" s="44"/>
      <c r="J31" s="45"/>
      <c r="K31" s="33"/>
      <c r="L31" s="33"/>
      <c r="M31" s="33"/>
      <c r="N31" s="33"/>
      <c r="O31" s="33"/>
      <c r="P31" s="33"/>
    </row>
    <row r="32" spans="1:16" ht="12.75">
      <c r="A32" s="33"/>
      <c r="B32" s="35"/>
      <c r="C32" s="35"/>
      <c r="D32" s="36"/>
      <c r="E32" s="35"/>
      <c r="F32" s="36"/>
      <c r="G32" s="35"/>
      <c r="H32" s="33"/>
      <c r="I32" s="44"/>
      <c r="J32" s="45"/>
      <c r="K32" s="33"/>
      <c r="L32" s="33"/>
      <c r="M32" s="33"/>
      <c r="N32" s="33"/>
      <c r="O32" s="33"/>
      <c r="P32" s="33"/>
    </row>
    <row r="33" spans="1:16" ht="12.75">
      <c r="A33" s="33"/>
      <c r="B33" s="35"/>
      <c r="C33" s="35"/>
      <c r="D33" s="36"/>
      <c r="E33" s="35"/>
      <c r="F33" s="36"/>
      <c r="G33" s="35"/>
      <c r="H33" s="33"/>
      <c r="I33" s="44"/>
      <c r="J33" s="45"/>
      <c r="K33" s="33"/>
      <c r="L33" s="33"/>
      <c r="M33" s="33"/>
      <c r="N33" s="33"/>
      <c r="O33" s="33"/>
      <c r="P33" s="33"/>
    </row>
    <row r="34" spans="1:16" ht="12.75">
      <c r="A34" s="33"/>
      <c r="B34" s="35"/>
      <c r="C34" s="35"/>
      <c r="D34" s="36"/>
      <c r="E34" s="35"/>
      <c r="F34" s="36"/>
      <c r="G34" s="35"/>
      <c r="H34" s="33"/>
      <c r="I34" s="44"/>
      <c r="J34" s="45"/>
      <c r="K34" s="33"/>
      <c r="L34" s="33"/>
      <c r="M34" s="33"/>
      <c r="N34" s="33"/>
      <c r="O34" s="33"/>
      <c r="P34" s="33"/>
    </row>
    <row r="35" spans="1:16" ht="12.75">
      <c r="A35" s="33"/>
      <c r="B35" s="35"/>
      <c r="C35" s="35"/>
      <c r="D35" s="33"/>
      <c r="E35" s="35"/>
      <c r="F35" s="33"/>
      <c r="G35" s="35"/>
      <c r="H35" s="33"/>
      <c r="I35" s="44"/>
      <c r="J35" s="45"/>
      <c r="K35" s="33"/>
      <c r="L35" s="33"/>
      <c r="M35" s="33"/>
      <c r="N35" s="33"/>
      <c r="O35" s="33"/>
      <c r="P35" s="33"/>
    </row>
    <row r="36" spans="1:16" ht="12.75">
      <c r="A36" s="33"/>
      <c r="B36" s="35"/>
      <c r="C36" s="35"/>
      <c r="D36" s="33"/>
      <c r="E36" s="35"/>
      <c r="F36" s="33"/>
      <c r="G36" s="35"/>
      <c r="H36" s="33"/>
      <c r="I36" s="44"/>
      <c r="J36" s="45"/>
      <c r="K36" s="33"/>
      <c r="L36" s="33"/>
      <c r="M36" s="33"/>
      <c r="N36" s="33"/>
      <c r="O36" s="33"/>
      <c r="P36" s="33"/>
    </row>
    <row r="37" spans="1:16" ht="12.75">
      <c r="A37" s="33"/>
      <c r="B37" s="35"/>
      <c r="C37" s="35"/>
      <c r="D37" s="33"/>
      <c r="E37" s="35"/>
      <c r="F37" s="33"/>
      <c r="G37" s="35"/>
      <c r="H37" s="33"/>
      <c r="I37" s="44"/>
      <c r="J37" s="45"/>
      <c r="K37" s="33"/>
      <c r="L37" s="33"/>
      <c r="M37" s="33"/>
      <c r="N37" s="33"/>
      <c r="O37" s="33"/>
      <c r="P37" s="33"/>
    </row>
    <row r="38" spans="1:16" ht="12.75">
      <c r="A38" s="33"/>
      <c r="B38" s="35"/>
      <c r="C38" s="35"/>
      <c r="D38" s="33"/>
      <c r="E38" s="35"/>
      <c r="F38" s="33"/>
      <c r="G38" s="35"/>
      <c r="H38" s="33"/>
      <c r="I38" s="35"/>
      <c r="J38" s="33"/>
      <c r="K38" s="33"/>
      <c r="L38" s="33"/>
      <c r="M38" s="33"/>
      <c r="N38" s="33"/>
      <c r="O38" s="33"/>
      <c r="P38" s="33"/>
    </row>
    <row r="39" spans="1:16" ht="12.75">
      <c r="A39" s="33"/>
      <c r="B39" s="35"/>
      <c r="C39" s="35"/>
      <c r="D39" s="33"/>
      <c r="E39" s="35"/>
      <c r="F39" s="33"/>
      <c r="G39" s="35"/>
      <c r="H39" s="33"/>
      <c r="I39" s="35"/>
      <c r="J39" s="33"/>
      <c r="K39" s="33"/>
      <c r="L39" s="33"/>
      <c r="M39" s="33"/>
      <c r="N39" s="33"/>
      <c r="O39" s="33"/>
      <c r="P39" s="33"/>
    </row>
    <row r="40" spans="1:16" ht="12.75">
      <c r="A40" s="33"/>
      <c r="B40" s="35"/>
      <c r="C40" s="35"/>
      <c r="D40" s="33"/>
      <c r="E40" s="35"/>
      <c r="F40" s="33"/>
      <c r="G40" s="35"/>
      <c r="H40" s="33"/>
      <c r="I40" s="35"/>
      <c r="J40" s="33"/>
      <c r="K40" s="33"/>
      <c r="L40" s="33"/>
      <c r="M40" s="33"/>
      <c r="N40" s="33"/>
      <c r="O40" s="33"/>
      <c r="P40" s="33"/>
    </row>
    <row r="41" spans="1:16" ht="12.75">
      <c r="A41" s="33"/>
      <c r="B41" s="35"/>
      <c r="C41" s="35"/>
      <c r="D41" s="33"/>
      <c r="E41" s="35"/>
      <c r="F41" s="33"/>
      <c r="G41" s="35"/>
      <c r="H41" s="33"/>
      <c r="I41" s="35"/>
      <c r="J41" s="33"/>
      <c r="K41" s="33"/>
      <c r="L41" s="33"/>
      <c r="M41" s="33"/>
      <c r="N41" s="33"/>
      <c r="O41" s="33"/>
      <c r="P41" s="33"/>
    </row>
  </sheetData>
  <mergeCells count="1">
    <mergeCell ref="I9:J9"/>
  </mergeCells>
  <dataValidations count="1">
    <dataValidation type="list" allowBlank="1" showInputMessage="1" showErrorMessage="1" promptTitle="Select Runner" prompt="from list" sqref="J8:J9">
      <formula1>$D$8:$D$24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77"/>
  <sheetViews>
    <sheetView zoomScale="75" zoomScaleNormal="75" workbookViewId="0" topLeftCell="A1">
      <pane xSplit="7" topLeftCell="H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24.140625" style="58" customWidth="1"/>
    <col min="2" max="2" width="9.7109375" style="59" customWidth="1"/>
    <col min="3" max="3" width="4.7109375" style="60" customWidth="1"/>
    <col min="4" max="4" width="1.7109375" style="61" customWidth="1"/>
    <col min="5" max="5" width="9.7109375" style="59" customWidth="1"/>
    <col min="6" max="6" width="4.7109375" style="59" customWidth="1"/>
    <col min="7" max="7" width="1.7109375" style="61" customWidth="1"/>
    <col min="8" max="8" width="15.7109375" style="61" customWidth="1"/>
    <col min="9" max="9" width="5.7109375" style="64" customWidth="1"/>
    <col min="10" max="10" width="5.7109375" style="61" customWidth="1"/>
    <col min="11" max="11" width="5.7109375" style="63" customWidth="1"/>
    <col min="12" max="12" width="1.7109375" style="61" customWidth="1"/>
    <col min="13" max="13" width="15.7109375" style="61" customWidth="1"/>
    <col min="14" max="14" width="5.7109375" style="64" customWidth="1"/>
    <col min="15" max="15" width="5.7109375" style="61" customWidth="1"/>
    <col min="16" max="16" width="5.7109375" style="63" customWidth="1"/>
    <col min="17" max="17" width="1.7109375" style="61" customWidth="1"/>
    <col min="18" max="18" width="21.421875" style="131" hidden="1" customWidth="1"/>
    <col min="19" max="19" width="8.8515625" style="134" hidden="1" customWidth="1"/>
    <col min="20" max="20" width="10.140625" style="131" hidden="1" customWidth="1"/>
    <col min="21" max="21" width="7.7109375" style="133" hidden="1" customWidth="1"/>
    <col min="22" max="22" width="6.28125" style="61" customWidth="1"/>
    <col min="23" max="23" width="15.7109375" style="61" customWidth="1"/>
    <col min="24" max="24" width="5.7109375" style="64" customWidth="1"/>
    <col min="25" max="25" width="5.7109375" style="61" customWidth="1"/>
    <col min="26" max="26" width="5.7109375" style="63" customWidth="1"/>
    <col min="27" max="27" width="1.7109375" style="61" customWidth="1"/>
    <col min="28" max="28" width="15.7109375" style="61" customWidth="1"/>
    <col min="29" max="29" width="5.7109375" style="64" customWidth="1"/>
    <col min="30" max="30" width="5.7109375" style="61" customWidth="1"/>
    <col min="31" max="31" width="5.7109375" style="63" customWidth="1"/>
    <col min="32" max="32" width="1.7109375" style="61" customWidth="1"/>
    <col min="33" max="33" width="15.7109375" style="61" customWidth="1"/>
    <col min="34" max="34" width="5.7109375" style="64" customWidth="1"/>
    <col min="35" max="35" width="5.7109375" style="61" customWidth="1"/>
    <col min="36" max="36" width="5.7109375" style="63" customWidth="1"/>
    <col min="37" max="37" width="1.7109375" style="61" customWidth="1"/>
    <col min="38" max="38" width="15.7109375" style="61" customWidth="1"/>
    <col min="39" max="39" width="5.7109375" style="64" customWidth="1"/>
    <col min="40" max="40" width="5.7109375" style="61" customWidth="1"/>
    <col min="41" max="41" width="5.7109375" style="63" customWidth="1"/>
    <col min="42" max="42" width="1.7109375" style="61" customWidth="1"/>
    <col min="43" max="43" width="15.7109375" style="61" customWidth="1"/>
    <col min="44" max="44" width="5.7109375" style="64" customWidth="1"/>
    <col min="45" max="45" width="5.7109375" style="61" customWidth="1"/>
    <col min="46" max="46" width="5.7109375" style="63" customWidth="1"/>
    <col min="47" max="47" width="1.7109375" style="61" customWidth="1"/>
    <col min="48" max="48" width="15.7109375" style="61" customWidth="1"/>
    <col min="49" max="49" width="5.7109375" style="64" customWidth="1"/>
    <col min="50" max="50" width="5.7109375" style="61" customWidth="1"/>
    <col min="51" max="51" width="5.7109375" style="63" customWidth="1"/>
    <col min="52" max="52" width="1.7109375" style="61" customWidth="1"/>
    <col min="53" max="53" width="15.7109375" style="61" customWidth="1"/>
    <col min="54" max="54" width="5.7109375" style="64" customWidth="1"/>
    <col min="55" max="55" width="5.7109375" style="61" customWidth="1"/>
    <col min="56" max="56" width="5.7109375" style="63" customWidth="1"/>
    <col min="57" max="57" width="1.7109375" style="61" customWidth="1"/>
    <col min="58" max="58" width="16.7109375" style="61" customWidth="1"/>
    <col min="59" max="59" width="6.7109375" style="64" customWidth="1"/>
    <col min="60" max="60" width="6.7109375" style="61" customWidth="1"/>
    <col min="61" max="61" width="6.7109375" style="63" customWidth="1"/>
    <col min="62" max="62" width="1.7109375" style="61" customWidth="1"/>
    <col min="63" max="63" width="16.7109375" style="61" customWidth="1"/>
    <col min="64" max="64" width="6.7109375" style="64" customWidth="1"/>
    <col min="65" max="65" width="6.7109375" style="61" customWidth="1"/>
    <col min="66" max="66" width="6.7109375" style="63" customWidth="1"/>
    <col min="67" max="67" width="1.7109375" style="61" customWidth="1"/>
    <col min="68" max="68" width="16.7109375" style="61" customWidth="1"/>
    <col min="69" max="69" width="6.7109375" style="64" customWidth="1"/>
    <col min="70" max="70" width="6.7109375" style="61" customWidth="1"/>
    <col min="71" max="71" width="6.7109375" style="63" customWidth="1"/>
    <col min="72" max="72" width="1.7109375" style="61" customWidth="1"/>
    <col min="73" max="73" width="16.7109375" style="61" customWidth="1"/>
    <col min="74" max="74" width="6.7109375" style="64" customWidth="1"/>
    <col min="75" max="75" width="6.7109375" style="61" customWidth="1"/>
    <col min="76" max="76" width="6.7109375" style="63" customWidth="1"/>
    <col min="77" max="77" width="1.7109375" style="61" customWidth="1"/>
    <col min="78" max="78" width="16.7109375" style="61" customWidth="1"/>
    <col min="79" max="79" width="6.7109375" style="64" customWidth="1"/>
    <col min="80" max="80" width="6.7109375" style="61" customWidth="1"/>
    <col min="81" max="81" width="6.7109375" style="63" customWidth="1"/>
    <col min="82" max="82" width="1.7109375" style="61" customWidth="1"/>
    <col min="83" max="83" width="16.7109375" style="61" customWidth="1"/>
    <col min="84" max="84" width="6.7109375" style="64" customWidth="1"/>
    <col min="85" max="85" width="6.7109375" style="61" customWidth="1"/>
    <col min="86" max="86" width="6.7109375" style="63" customWidth="1"/>
    <col min="87" max="87" width="1.7109375" style="61" customWidth="1"/>
    <col min="88" max="88" width="16.7109375" style="61" customWidth="1"/>
    <col min="89" max="89" width="6.7109375" style="64" customWidth="1"/>
    <col min="90" max="90" width="6.7109375" style="61" customWidth="1"/>
    <col min="91" max="91" width="6.7109375" style="63" customWidth="1"/>
    <col min="92" max="92" width="1.7109375" style="61" customWidth="1"/>
    <col min="93" max="16384" width="9.140625" style="61" customWidth="1"/>
  </cols>
  <sheetData>
    <row r="2" spans="1:91" s="80" customFormat="1" ht="19.5" customHeight="1">
      <c r="A2" s="79"/>
      <c r="B2" s="46"/>
      <c r="C2" s="47"/>
      <c r="E2" s="46"/>
      <c r="F2" s="46"/>
      <c r="H2" s="66" t="s">
        <v>46</v>
      </c>
      <c r="I2" s="71">
        <v>3</v>
      </c>
      <c r="J2" s="72" t="s">
        <v>9</v>
      </c>
      <c r="K2" s="87" t="s">
        <v>11</v>
      </c>
      <c r="M2" s="66" t="s">
        <v>47</v>
      </c>
      <c r="N2" s="71">
        <f>Dist1</f>
        <v>3</v>
      </c>
      <c r="O2" s="72" t="s">
        <v>9</v>
      </c>
      <c r="P2" s="87" t="s">
        <v>11</v>
      </c>
      <c r="R2" s="119" t="s">
        <v>5</v>
      </c>
      <c r="S2" s="120">
        <f>Dist1</f>
        <v>3</v>
      </c>
      <c r="T2" s="121" t="s">
        <v>9</v>
      </c>
      <c r="U2" s="122" t="s">
        <v>11</v>
      </c>
      <c r="W2" s="66" t="s">
        <v>12</v>
      </c>
      <c r="X2" s="71">
        <v>3.6</v>
      </c>
      <c r="Y2" s="72" t="s">
        <v>9</v>
      </c>
      <c r="Z2" s="87" t="s">
        <v>11</v>
      </c>
      <c r="AB2" s="66" t="s">
        <v>13</v>
      </c>
      <c r="AC2" s="71">
        <v>3.9</v>
      </c>
      <c r="AD2" s="72" t="s">
        <v>9</v>
      </c>
      <c r="AE2" s="87" t="s">
        <v>11</v>
      </c>
      <c r="AG2" s="66" t="s">
        <v>14</v>
      </c>
      <c r="AH2" s="71">
        <v>4.2</v>
      </c>
      <c r="AI2" s="72" t="s">
        <v>9</v>
      </c>
      <c r="AJ2" s="87" t="s">
        <v>11</v>
      </c>
      <c r="AL2" s="66" t="s">
        <v>15</v>
      </c>
      <c r="AM2" s="71">
        <v>4.7</v>
      </c>
      <c r="AN2" s="72" t="s">
        <v>9</v>
      </c>
      <c r="AO2" s="87" t="s">
        <v>11</v>
      </c>
      <c r="AQ2" s="66" t="s">
        <v>16</v>
      </c>
      <c r="AR2" s="71">
        <v>3.25</v>
      </c>
      <c r="AS2" s="72" t="s">
        <v>9</v>
      </c>
      <c r="AT2" s="87" t="s">
        <v>11</v>
      </c>
      <c r="AV2" s="66" t="s">
        <v>17</v>
      </c>
      <c r="AW2" s="71">
        <v>3.7</v>
      </c>
      <c r="AX2" s="72" t="s">
        <v>9</v>
      </c>
      <c r="AY2" s="87" t="s">
        <v>11</v>
      </c>
      <c r="BA2" s="46"/>
      <c r="BB2" s="49"/>
      <c r="BC2" s="50"/>
      <c r="BD2" s="51"/>
      <c r="BG2" s="81"/>
      <c r="BI2" s="82"/>
      <c r="BL2" s="81"/>
      <c r="BN2" s="82"/>
      <c r="BQ2" s="81"/>
      <c r="BS2" s="82"/>
      <c r="BV2" s="81"/>
      <c r="BX2" s="82"/>
      <c r="CA2" s="81"/>
      <c r="CC2" s="82"/>
      <c r="CF2" s="81"/>
      <c r="CH2" s="82"/>
      <c r="CK2" s="81"/>
      <c r="CM2" s="82"/>
    </row>
    <row r="3" spans="1:91" s="80" customFormat="1" ht="19.5" customHeight="1">
      <c r="A3" s="65" t="s">
        <v>0</v>
      </c>
      <c r="B3" s="66" t="s">
        <v>19</v>
      </c>
      <c r="C3" s="67" t="s">
        <v>10</v>
      </c>
      <c r="E3" s="66" t="s">
        <v>20</v>
      </c>
      <c r="F3" s="67" t="s">
        <v>10</v>
      </c>
      <c r="H3" s="73" t="s">
        <v>6</v>
      </c>
      <c r="I3" s="74" t="s">
        <v>7</v>
      </c>
      <c r="J3" s="88" t="s">
        <v>8</v>
      </c>
      <c r="K3" s="89" t="s">
        <v>10</v>
      </c>
      <c r="M3" s="73" t="s">
        <v>6</v>
      </c>
      <c r="N3" s="74" t="s">
        <v>7</v>
      </c>
      <c r="O3" s="88" t="s">
        <v>8</v>
      </c>
      <c r="P3" s="89" t="s">
        <v>10</v>
      </c>
      <c r="R3" s="123" t="s">
        <v>54</v>
      </c>
      <c r="S3" s="124" t="s">
        <v>7</v>
      </c>
      <c r="T3" s="125" t="s">
        <v>8</v>
      </c>
      <c r="U3" s="126" t="s">
        <v>10</v>
      </c>
      <c r="W3" s="73" t="s">
        <v>6</v>
      </c>
      <c r="X3" s="74" t="s">
        <v>7</v>
      </c>
      <c r="Y3" s="88" t="s">
        <v>8</v>
      </c>
      <c r="Z3" s="89" t="s">
        <v>10</v>
      </c>
      <c r="AB3" s="73" t="s">
        <v>6</v>
      </c>
      <c r="AC3" s="74" t="s">
        <v>7</v>
      </c>
      <c r="AD3" s="88" t="s">
        <v>8</v>
      </c>
      <c r="AE3" s="89" t="s">
        <v>10</v>
      </c>
      <c r="AG3" s="73" t="s">
        <v>6</v>
      </c>
      <c r="AH3" s="74" t="s">
        <v>7</v>
      </c>
      <c r="AI3" s="88" t="s">
        <v>8</v>
      </c>
      <c r="AJ3" s="89" t="s">
        <v>10</v>
      </c>
      <c r="AL3" s="73" t="s">
        <v>6</v>
      </c>
      <c r="AM3" s="74" t="s">
        <v>7</v>
      </c>
      <c r="AN3" s="88" t="s">
        <v>8</v>
      </c>
      <c r="AO3" s="89" t="s">
        <v>10</v>
      </c>
      <c r="AQ3" s="73" t="s">
        <v>6</v>
      </c>
      <c r="AR3" s="74" t="s">
        <v>7</v>
      </c>
      <c r="AS3" s="88" t="s">
        <v>8</v>
      </c>
      <c r="AT3" s="89" t="s">
        <v>10</v>
      </c>
      <c r="AV3" s="73" t="s">
        <v>6</v>
      </c>
      <c r="AW3" s="74" t="s">
        <v>7</v>
      </c>
      <c r="AX3" s="88" t="s">
        <v>8</v>
      </c>
      <c r="AY3" s="89" t="s">
        <v>10</v>
      </c>
      <c r="BA3" s="52"/>
      <c r="BB3" s="53"/>
      <c r="BC3" s="51"/>
      <c r="BD3" s="51"/>
      <c r="BG3" s="81"/>
      <c r="BI3" s="82"/>
      <c r="BL3" s="81"/>
      <c r="BN3" s="82"/>
      <c r="BQ3" s="81"/>
      <c r="BS3" s="82"/>
      <c r="BV3" s="81"/>
      <c r="BX3" s="82"/>
      <c r="CA3" s="81"/>
      <c r="CC3" s="82"/>
      <c r="CF3" s="81"/>
      <c r="CH3" s="82"/>
      <c r="CK3" s="81"/>
      <c r="CM3" s="82"/>
    </row>
    <row r="4" spans="1:56" s="48" customFormat="1" ht="19.5" customHeight="1">
      <c r="A4" s="68" t="s">
        <v>80</v>
      </c>
      <c r="B4" s="69">
        <f>SUM(E4,E12)</f>
        <v>0.15915509259259258</v>
      </c>
      <c r="C4" s="70">
        <f>RANK(B4,B$4:B$8,2)</f>
        <v>4</v>
      </c>
      <c r="E4" s="69">
        <f>SUM(I4,N4,X4,AC4,AH4,AM4,AR4,AW4)</f>
        <v>0.07788194444444445</v>
      </c>
      <c r="F4" s="70">
        <f>RANK(E4,E$4:E$8,2)</f>
        <v>5</v>
      </c>
      <c r="H4" s="75" t="s">
        <v>68</v>
      </c>
      <c r="I4" s="76">
        <v>0.0069097222222222225</v>
      </c>
      <c r="J4" s="29">
        <f>I4/Dist1</f>
        <v>0.0023032407407407407</v>
      </c>
      <c r="K4" s="30">
        <f>IF(I4&gt;0,RANK(I4,H$52:H$65,1),)</f>
        <v>1</v>
      </c>
      <c r="M4" s="75" t="s">
        <v>71</v>
      </c>
      <c r="N4" s="76">
        <v>0.007997685185185186</v>
      </c>
      <c r="O4" s="29">
        <f>N4/Dist1</f>
        <v>0.002665895061728395</v>
      </c>
      <c r="P4" s="30">
        <f>IF(N4&gt;0,RANK(N4,H$52:H$65,1),)</f>
        <v>9</v>
      </c>
      <c r="R4" s="127" t="str">
        <f>CONCATENATE(H4," &amp; ",M4)</f>
        <v>Stephen Paine &amp; Paul Marsh</v>
      </c>
      <c r="S4" s="128">
        <f>I4+N4</f>
        <v>0.014907407407407407</v>
      </c>
      <c r="T4" s="129">
        <f>S4/($S$2*2)</f>
        <v>0.002484567901234568</v>
      </c>
      <c r="U4" s="130">
        <f>IF(S4&gt;0,RANK(S4,S4:S8,1),)</f>
        <v>3</v>
      </c>
      <c r="W4" s="75" t="s">
        <v>45</v>
      </c>
      <c r="X4" s="76">
        <v>0.01076388888888889</v>
      </c>
      <c r="Y4" s="29">
        <f>X4/Dist2</f>
        <v>0.0029899691358024694</v>
      </c>
      <c r="Z4" s="30">
        <f>IF(X4&gt;0,RANK(X4,X$4:X$8,1),)</f>
        <v>5</v>
      </c>
      <c r="AB4" s="75" t="s">
        <v>70</v>
      </c>
      <c r="AC4" s="76">
        <v>0.011273148148148148</v>
      </c>
      <c r="AD4" s="29">
        <f>AC4/Dist3</f>
        <v>0.002890550807217474</v>
      </c>
      <c r="AE4" s="30">
        <f>IF(AC4&gt;0,RANK(AC4,AC$4:AC$8,1),)</f>
        <v>2</v>
      </c>
      <c r="AG4" s="75" t="s">
        <v>71</v>
      </c>
      <c r="AH4" s="76">
        <v>0.011157407407407408</v>
      </c>
      <c r="AI4" s="29">
        <f>AH4/Dist4</f>
        <v>0.0026565255731922396</v>
      </c>
      <c r="AJ4" s="30">
        <f>IF(AH4&gt;0,RANK(AH4,AH$4:AH$8,1),)</f>
        <v>5</v>
      </c>
      <c r="AL4" s="75" t="s">
        <v>68</v>
      </c>
      <c r="AM4" s="76">
        <v>0.010185185185185184</v>
      </c>
      <c r="AN4" s="29">
        <f>AM4/Dist5</f>
        <v>0.0021670606776989752</v>
      </c>
      <c r="AO4" s="30">
        <f>IF(AM4&gt;0,RANK(AM4,AM$4:AM$8,1),)</f>
        <v>2</v>
      </c>
      <c r="AQ4" s="75" t="s">
        <v>45</v>
      </c>
      <c r="AR4" s="76">
        <v>0.009849537037037037</v>
      </c>
      <c r="AS4" s="29">
        <f>AR4/Dist6</f>
        <v>0.0030306267806267805</v>
      </c>
      <c r="AT4" s="30">
        <f>IF(AR4&gt;0,RANK(AR4,AR$4:AR$8,1),)</f>
        <v>5</v>
      </c>
      <c r="AV4" s="75" t="s">
        <v>70</v>
      </c>
      <c r="AW4" s="76">
        <v>0.009745370370370371</v>
      </c>
      <c r="AX4" s="29">
        <f>AW4/Dist7</f>
        <v>0.002633883883883884</v>
      </c>
      <c r="AY4" s="30">
        <f>IF(AW4&gt;0,RANK(AW4,AW$4:AW$8,1),)</f>
        <v>2</v>
      </c>
      <c r="BA4" s="54"/>
      <c r="BB4" s="55"/>
      <c r="BC4" s="56"/>
      <c r="BD4" s="57"/>
    </row>
    <row r="5" spans="1:56" s="48" customFormat="1" ht="19.5" customHeight="1">
      <c r="A5" s="68" t="s">
        <v>81</v>
      </c>
      <c r="B5" s="69">
        <f>SUM(E5,E13)</f>
        <v>0.15802083333333333</v>
      </c>
      <c r="C5" s="70">
        <f>RANK(B5,B$4:B$8,2)</f>
        <v>3</v>
      </c>
      <c r="E5" s="69">
        <f>SUM(I5,N5,X5,AC5,AH5,AM5,AR5,AW5)</f>
        <v>0.07689814814814815</v>
      </c>
      <c r="F5" s="70">
        <f>RANK(E5,E$4:E$8,2)</f>
        <v>4</v>
      </c>
      <c r="H5" s="75" t="s">
        <v>73</v>
      </c>
      <c r="I5" s="76">
        <v>0.007071759259259259</v>
      </c>
      <c r="J5" s="29">
        <f>I5/Dist1</f>
        <v>0.002357253086419753</v>
      </c>
      <c r="K5" s="30">
        <f>IF(I5&gt;0,RANK(I5,H$52:H$65,1),)</f>
        <v>3</v>
      </c>
      <c r="M5" s="75" t="s">
        <v>61</v>
      </c>
      <c r="N5" s="76">
        <v>0.008206018518518519</v>
      </c>
      <c r="O5" s="29">
        <f>N5/Dist1</f>
        <v>0.0027353395061728396</v>
      </c>
      <c r="P5" s="30">
        <f>IF(N5&gt;0,RANK(N5,H$52:H$65,1),)</f>
        <v>10</v>
      </c>
      <c r="R5" s="127" t="str">
        <f>CONCATENATE(H5," &amp; ",M5)</f>
        <v>Simon Bevage &amp; Matt Sandilands</v>
      </c>
      <c r="S5" s="128">
        <f>I5+N5</f>
        <v>0.015277777777777779</v>
      </c>
      <c r="T5" s="129">
        <f>S5/($S$2*2)</f>
        <v>0.0025462962962962965</v>
      </c>
      <c r="U5" s="130">
        <f>IF(S5&gt;0,RANK(S5,S4:S8,1),)</f>
        <v>5</v>
      </c>
      <c r="W5" s="75" t="s">
        <v>79</v>
      </c>
      <c r="X5" s="76">
        <v>0.010231481481481482</v>
      </c>
      <c r="Y5" s="29">
        <f>X5/Dist2</f>
        <v>0.0028420781893004118</v>
      </c>
      <c r="Z5" s="30">
        <f>IF(X5&gt;0,RANK(X5,X$4:X$8,1),)</f>
        <v>4</v>
      </c>
      <c r="AB5" s="75" t="s">
        <v>67</v>
      </c>
      <c r="AC5" s="76">
        <v>0.011006944444444444</v>
      </c>
      <c r="AD5" s="29">
        <f>AC5/Dist3</f>
        <v>0.002822293447293447</v>
      </c>
      <c r="AE5" s="30">
        <f>IF(AC5&gt;0,RANK(AC5,AC$4:AC$8,1),)</f>
        <v>1</v>
      </c>
      <c r="AG5" s="75" t="s">
        <v>73</v>
      </c>
      <c r="AH5" s="76">
        <v>0.01</v>
      </c>
      <c r="AI5" s="29">
        <f>AH5/Dist4</f>
        <v>0.0023809523809523807</v>
      </c>
      <c r="AJ5" s="30">
        <f>IF(AH5&gt;0,RANK(AH5,AH$4:AH$8,1),)</f>
        <v>1</v>
      </c>
      <c r="AL5" s="75" t="s">
        <v>61</v>
      </c>
      <c r="AM5" s="76">
        <v>0.011539351851851851</v>
      </c>
      <c r="AN5" s="29">
        <f>AM5/Dist5</f>
        <v>0.0024551812450748617</v>
      </c>
      <c r="AO5" s="30">
        <f>IF(AM5&gt;0,RANK(AM5,AM$4:AM$8,1),)</f>
        <v>5</v>
      </c>
      <c r="AQ5" s="75" t="s">
        <v>79</v>
      </c>
      <c r="AR5" s="76">
        <v>0.009212962962962963</v>
      </c>
      <c r="AS5" s="29">
        <f>AR5/Dist6</f>
        <v>0.0028347578347578347</v>
      </c>
      <c r="AT5" s="30">
        <f>IF(AR5&gt;0,RANK(AR5,AR$4:AR$8,1),)</f>
        <v>3</v>
      </c>
      <c r="AV5" s="75" t="s">
        <v>67</v>
      </c>
      <c r="AW5" s="76">
        <v>0.00962962962962963</v>
      </c>
      <c r="AX5" s="29">
        <f>AW5/Dist7</f>
        <v>0.0026026026026026027</v>
      </c>
      <c r="AY5" s="30">
        <f>IF(AW5&gt;0,RANK(AW5,AW$4:AW$8,1),)</f>
        <v>1</v>
      </c>
      <c r="BA5" s="54"/>
      <c r="BB5" s="55"/>
      <c r="BC5" s="56"/>
      <c r="BD5" s="57"/>
    </row>
    <row r="6" spans="1:56" s="48" customFormat="1" ht="19.5" customHeight="1">
      <c r="A6" s="68" t="s">
        <v>82</v>
      </c>
      <c r="B6" s="69">
        <f>SUM(E6,E14)</f>
        <v>0.1542939814814815</v>
      </c>
      <c r="C6" s="70">
        <f>RANK(B6,B$4:B$8,2)</f>
        <v>2</v>
      </c>
      <c r="E6" s="69">
        <f>SUM(I6,N6,X6,AC6,AH6,AM6,AR6,AW6)</f>
        <v>0.07560185185185186</v>
      </c>
      <c r="F6" s="70">
        <f>RANK(E6,E$4:E$8,2)</f>
        <v>1</v>
      </c>
      <c r="H6" s="75" t="s">
        <v>56</v>
      </c>
      <c r="I6" s="76">
        <v>0.007025462962962963</v>
      </c>
      <c r="J6" s="29">
        <f>I6/Dist1</f>
        <v>0.0023418209876543213</v>
      </c>
      <c r="K6" s="30">
        <f>IF(I6&gt;0,RANK(I6,H$52:H$65,1),)</f>
        <v>2</v>
      </c>
      <c r="M6" s="75" t="s">
        <v>74</v>
      </c>
      <c r="N6" s="76">
        <v>0.007337962962962963</v>
      </c>
      <c r="O6" s="29">
        <f>N6/Dist1</f>
        <v>0.0024459876543209877</v>
      </c>
      <c r="P6" s="30">
        <f>IF(N6&gt;0,RANK(N6,H$52:H$65,1),)</f>
        <v>5</v>
      </c>
      <c r="R6" s="127" t="str">
        <f>CONCATENATE(H6," &amp; ",M6)</f>
        <v>David Venour &amp; Patrick O'Keefe</v>
      </c>
      <c r="S6" s="128">
        <f>I6+N6</f>
        <v>0.014363425925925925</v>
      </c>
      <c r="T6" s="129">
        <f>S6/($S$2*2)</f>
        <v>0.002393904320987654</v>
      </c>
      <c r="U6" s="130">
        <f>IF(S6&gt;0,RANK(S6,S4:S8,1),)</f>
        <v>1</v>
      </c>
      <c r="W6" s="75" t="s">
        <v>69</v>
      </c>
      <c r="X6" s="76">
        <v>0.010150462962962964</v>
      </c>
      <c r="Y6" s="29">
        <f>X6/Dist2</f>
        <v>0.00281957304526749</v>
      </c>
      <c r="Z6" s="30">
        <f>IF(X6&gt;0,RANK(X6,X$4:X$8,1),)</f>
        <v>2</v>
      </c>
      <c r="AB6" s="75" t="s">
        <v>55</v>
      </c>
      <c r="AC6" s="76">
        <v>0.011423611111111112</v>
      </c>
      <c r="AD6" s="29">
        <f>AC6/Dist3</f>
        <v>0.0029291310541310544</v>
      </c>
      <c r="AE6" s="30">
        <f>IF(AC6&gt;0,RANK(AC6,AC$4:AC$8,1),)</f>
        <v>4</v>
      </c>
      <c r="AG6" s="75" t="s">
        <v>74</v>
      </c>
      <c r="AH6" s="76">
        <v>0.010081018518518519</v>
      </c>
      <c r="AI6" s="29">
        <f>AH6/Dist4</f>
        <v>0.002400242504409171</v>
      </c>
      <c r="AJ6" s="30">
        <f>IF(AH6&gt;0,RANK(AH6,AH$4:AH$8,1),)</f>
        <v>2</v>
      </c>
      <c r="AL6" s="75" t="s">
        <v>56</v>
      </c>
      <c r="AM6" s="76">
        <v>0.010555555555555554</v>
      </c>
      <c r="AN6" s="29">
        <f>AM6/Dist5</f>
        <v>0.0022458628841607563</v>
      </c>
      <c r="AO6" s="30">
        <f>IF(AM6&gt;0,RANK(AM6,AM$4:AM$8,1),)</f>
        <v>3</v>
      </c>
      <c r="AQ6" s="75" t="s">
        <v>69</v>
      </c>
      <c r="AR6" s="76">
        <v>0.009236111111111112</v>
      </c>
      <c r="AS6" s="29">
        <f>AR6/Dist6</f>
        <v>0.002841880341880342</v>
      </c>
      <c r="AT6" s="30">
        <f>IF(AR6&gt;0,RANK(AR6,AR$4:AR$8,1),)</f>
        <v>4</v>
      </c>
      <c r="AV6" s="75" t="s">
        <v>55</v>
      </c>
      <c r="AW6" s="76">
        <v>0.009791666666666666</v>
      </c>
      <c r="AX6" s="29">
        <f>AW6/Dist7</f>
        <v>0.002646396396396396</v>
      </c>
      <c r="AY6" s="30">
        <f>IF(AW6&gt;0,RANK(AW6,AW$4:AW$8,1),)</f>
        <v>3</v>
      </c>
      <c r="BA6" s="54"/>
      <c r="BB6" s="55"/>
      <c r="BC6" s="56"/>
      <c r="BD6" s="57"/>
    </row>
    <row r="7" spans="1:56" s="48" customFormat="1" ht="19.5" customHeight="1">
      <c r="A7" s="68" t="s">
        <v>83</v>
      </c>
      <c r="B7" s="69">
        <f>SUM(E7,E15)</f>
        <v>0.15414351851851854</v>
      </c>
      <c r="C7" s="70">
        <f>RANK(B7,B$4:B$8,2)</f>
        <v>1</v>
      </c>
      <c r="E7" s="69">
        <f>SUM(I7,N7,X7,AC7,AH7,AM7,AR7,AW7)</f>
        <v>0.07594907407407409</v>
      </c>
      <c r="F7" s="70">
        <f>RANK(E7,E$4:E$8,2)</f>
        <v>2</v>
      </c>
      <c r="H7" s="75" t="s">
        <v>57</v>
      </c>
      <c r="I7" s="76">
        <v>0.007546296296296297</v>
      </c>
      <c r="J7" s="29">
        <f>I7/Dist1</f>
        <v>0.002515432098765432</v>
      </c>
      <c r="K7" s="30">
        <f>IF(I7&gt;0,RANK(I7,H$52:H$65,1),)</f>
        <v>6</v>
      </c>
      <c r="M7" s="75" t="s">
        <v>58</v>
      </c>
      <c r="N7" s="76">
        <v>0.0072106481481481475</v>
      </c>
      <c r="O7" s="29">
        <f>N7/Dist1</f>
        <v>0.002403549382716049</v>
      </c>
      <c r="P7" s="30">
        <f>IF(N7&gt;0,RANK(N7,H$52:H$65,1),)</f>
        <v>4</v>
      </c>
      <c r="R7" s="127" t="str">
        <f>CONCATENATE(H7," &amp; ",M7)</f>
        <v>Anthony Lee &amp; Troy Williams</v>
      </c>
      <c r="S7" s="128">
        <f>I7+N7</f>
        <v>0.014756944444444444</v>
      </c>
      <c r="T7" s="129">
        <f>S7/($S$2*2)</f>
        <v>0.002459490740740741</v>
      </c>
      <c r="U7" s="130">
        <f>IF(S7&gt;0,RANK(S7,S4:S8,1),)</f>
        <v>2</v>
      </c>
      <c r="W7" s="75" t="s">
        <v>75</v>
      </c>
      <c r="X7" s="76">
        <v>0.01019675925925926</v>
      </c>
      <c r="Y7" s="29">
        <f>X7/Dist2</f>
        <v>0.0028324331275720164</v>
      </c>
      <c r="Z7" s="30">
        <f>IF(X7&gt;0,RANK(X7,X$4:X$8,1),)</f>
        <v>3</v>
      </c>
      <c r="AB7" s="75" t="s">
        <v>76</v>
      </c>
      <c r="AC7" s="76">
        <v>0.011296296296296296</v>
      </c>
      <c r="AD7" s="29">
        <f>AC7/Dist3</f>
        <v>0.002896486229819563</v>
      </c>
      <c r="AE7" s="30">
        <f>IF(AC7&gt;0,RANK(AC7,AC$4:AC$8,1),)</f>
        <v>3</v>
      </c>
      <c r="AG7" s="75" t="s">
        <v>57</v>
      </c>
      <c r="AH7" s="76">
        <v>0.010462962962962964</v>
      </c>
      <c r="AI7" s="29">
        <f>AH7/Dist4</f>
        <v>0.0024911816578483247</v>
      </c>
      <c r="AJ7" s="30">
        <f>IF(AH7&gt;0,RANK(AH7,AH$4:AH$8,1),)</f>
        <v>4</v>
      </c>
      <c r="AL7" s="75" t="s">
        <v>58</v>
      </c>
      <c r="AM7" s="76">
        <v>0.010162037037037037</v>
      </c>
      <c r="AN7" s="29">
        <f>AM7/Dist5</f>
        <v>0.0021621355397951143</v>
      </c>
      <c r="AO7" s="30">
        <f>IF(AM7&gt;0,RANK(AM7,AM$4:AM$8,1),)</f>
        <v>1</v>
      </c>
      <c r="AQ7" s="75" t="s">
        <v>75</v>
      </c>
      <c r="AR7" s="76">
        <v>0.00863425925925926</v>
      </c>
      <c r="AS7" s="29">
        <f>AR7/Dist6</f>
        <v>0.002656695156695157</v>
      </c>
      <c r="AT7" s="30">
        <f>IF(AR7&gt;0,RANK(AR7,AR$4:AR$8,1),)</f>
        <v>2</v>
      </c>
      <c r="AV7" s="75" t="s">
        <v>76</v>
      </c>
      <c r="AW7" s="76">
        <v>0.010439814814814813</v>
      </c>
      <c r="AX7" s="29">
        <f>AW7/Dist7</f>
        <v>0.002821571571571571</v>
      </c>
      <c r="AY7" s="30">
        <f>IF(AW7&gt;0,RANK(AW7,AW$4:AW$8,1),)</f>
        <v>5</v>
      </c>
      <c r="BA7" s="54"/>
      <c r="BB7" s="55"/>
      <c r="BC7" s="56"/>
      <c r="BD7" s="57"/>
    </row>
    <row r="8" spans="1:56" s="48" customFormat="1" ht="19.5" customHeight="1">
      <c r="A8" s="68" t="s">
        <v>84</v>
      </c>
      <c r="B8" s="69">
        <f>SUM(E8,E16)</f>
        <v>0.15988425925925925</v>
      </c>
      <c r="C8" s="70">
        <f>RANK(B8,B$4:B$8,2)</f>
        <v>5</v>
      </c>
      <c r="E8" s="69">
        <f>SUM(I8,N8,X8,AC8,AH8,AM8,AR8,AW8)</f>
        <v>0.07667824074074074</v>
      </c>
      <c r="F8" s="70">
        <f>RANK(E8,E$4:E$8,2)</f>
        <v>3</v>
      </c>
      <c r="H8" s="75" t="s">
        <v>59</v>
      </c>
      <c r="I8" s="162">
        <v>0.0076157407407407415</v>
      </c>
      <c r="J8" s="29">
        <f>I8/Dist1</f>
        <v>0.0025385802469135806</v>
      </c>
      <c r="K8" s="30">
        <f>IF(I8&gt;0,RANK(I8,H$52:H$65,1),)</f>
        <v>8</v>
      </c>
      <c r="M8" s="75" t="s">
        <v>60</v>
      </c>
      <c r="N8" s="162">
        <v>0.007569444444444445</v>
      </c>
      <c r="O8" s="29">
        <f>N8/Dist1</f>
        <v>0.002523148148148148</v>
      </c>
      <c r="P8" s="30">
        <f>IF(N8&gt;0,RANK(N8,H$52:H$65,1),)</f>
        <v>7</v>
      </c>
      <c r="R8" s="127" t="str">
        <f>CONCATENATE(H8," &amp; ",M8)</f>
        <v>Anthony Weiland &amp; Anthony Mithen</v>
      </c>
      <c r="S8" s="128">
        <f>I8+N8</f>
        <v>0.015185185185185187</v>
      </c>
      <c r="T8" s="129">
        <f>S8/($S$2*2)</f>
        <v>0.0025308641975308644</v>
      </c>
      <c r="U8" s="130">
        <f>IF(S8&gt;0,RANK(S8,S4:S8,1),)</f>
        <v>4</v>
      </c>
      <c r="W8" s="75" t="s">
        <v>78</v>
      </c>
      <c r="X8" s="76">
        <v>0.009814814814814814</v>
      </c>
      <c r="Y8" s="29">
        <f>X8/Dist2</f>
        <v>0.0027263374485596704</v>
      </c>
      <c r="Z8" s="30">
        <f>IF(X8&gt;0,RANK(X8,X$4:X$8,1),)</f>
        <v>1</v>
      </c>
      <c r="AB8" s="75" t="s">
        <v>77</v>
      </c>
      <c r="AC8" s="76">
        <v>0.011620370370370371</v>
      </c>
      <c r="AD8" s="29">
        <f>AC8/Dist3</f>
        <v>0.002979582146248813</v>
      </c>
      <c r="AE8" s="30">
        <f>IF(AC8&gt;0,RANK(AC8,AC$4:AC$8,1),)</f>
        <v>5</v>
      </c>
      <c r="AG8" s="75" t="s">
        <v>60</v>
      </c>
      <c r="AH8" s="76">
        <v>0.010393518518518519</v>
      </c>
      <c r="AI8" s="29">
        <f>AH8/Dist4</f>
        <v>0.002474647266313933</v>
      </c>
      <c r="AJ8" s="30">
        <f>IF(AH8&gt;0,RANK(AH8,AH$4:AH$8,1),)</f>
        <v>3</v>
      </c>
      <c r="AL8" s="75" t="s">
        <v>59</v>
      </c>
      <c r="AM8" s="76">
        <v>0.010983796296296297</v>
      </c>
      <c r="AN8" s="29">
        <f>AM8/Dist5</f>
        <v>0.0023369779353821906</v>
      </c>
      <c r="AO8" s="30">
        <f>IF(AM8&gt;0,RANK(AM8,AM$4:AM$8,1),)</f>
        <v>4</v>
      </c>
      <c r="AQ8" s="75" t="s">
        <v>78</v>
      </c>
      <c r="AR8" s="76">
        <v>0.008344907407407409</v>
      </c>
      <c r="AS8" s="29">
        <f>AR8/Dist6</f>
        <v>0.002567663817663818</v>
      </c>
      <c r="AT8" s="30">
        <f>IF(AR8&gt;0,RANK(AR8,AR$4:AR$8,1),)</f>
        <v>1</v>
      </c>
      <c r="AV8" s="75" t="s">
        <v>77</v>
      </c>
      <c r="AW8" s="76">
        <v>0.010335648148148148</v>
      </c>
      <c r="AX8" s="29">
        <f>AW8/Dist7</f>
        <v>0.002793418418418418</v>
      </c>
      <c r="AY8" s="30">
        <f>IF(AW8&gt;0,RANK(AW8,AW$4:AW$8,1),)</f>
        <v>4</v>
      </c>
      <c r="BA8" s="54"/>
      <c r="BB8" s="55"/>
      <c r="BC8" s="56"/>
      <c r="BD8" s="57"/>
    </row>
    <row r="9" spans="9:90" ht="19.5" customHeight="1">
      <c r="I9" s="62"/>
      <c r="J9" s="63"/>
      <c r="N9" s="62"/>
      <c r="O9" s="63"/>
      <c r="S9" s="132"/>
      <c r="T9" s="133"/>
      <c r="X9" s="62"/>
      <c r="Y9" s="63"/>
      <c r="AC9" s="62"/>
      <c r="AD9" s="63"/>
      <c r="AH9" s="62"/>
      <c r="AI9" s="63"/>
      <c r="AM9" s="62"/>
      <c r="AN9" s="63"/>
      <c r="AR9" s="62"/>
      <c r="AS9" s="63"/>
      <c r="AW9" s="62"/>
      <c r="AX9" s="63"/>
      <c r="BB9" s="62"/>
      <c r="BC9" s="63"/>
      <c r="BG9" s="62"/>
      <c r="BH9" s="63"/>
      <c r="BL9" s="62"/>
      <c r="BM9" s="63"/>
      <c r="BQ9" s="62"/>
      <c r="BR9" s="63"/>
      <c r="BV9" s="62"/>
      <c r="BW9" s="63"/>
      <c r="CA9" s="62"/>
      <c r="CB9" s="63"/>
      <c r="CF9" s="62"/>
      <c r="CG9" s="63"/>
      <c r="CK9" s="62"/>
      <c r="CL9" s="63"/>
    </row>
    <row r="10" spans="1:91" s="80" customFormat="1" ht="19.5" customHeight="1">
      <c r="A10" s="83"/>
      <c r="B10" s="84"/>
      <c r="C10" s="85"/>
      <c r="E10" s="84"/>
      <c r="F10" s="84"/>
      <c r="H10" s="66" t="s">
        <v>48</v>
      </c>
      <c r="I10" s="71">
        <v>3</v>
      </c>
      <c r="J10" s="72" t="s">
        <v>9</v>
      </c>
      <c r="K10" s="87" t="s">
        <v>11</v>
      </c>
      <c r="M10" s="66" t="s">
        <v>49</v>
      </c>
      <c r="N10" s="71">
        <f>Dist8</f>
        <v>3</v>
      </c>
      <c r="O10" s="72" t="s">
        <v>9</v>
      </c>
      <c r="P10" s="87" t="s">
        <v>11</v>
      </c>
      <c r="R10" s="119" t="s">
        <v>18</v>
      </c>
      <c r="S10" s="120">
        <f>Dist8</f>
        <v>3</v>
      </c>
      <c r="T10" s="121" t="s">
        <v>9</v>
      </c>
      <c r="U10" s="122" t="s">
        <v>11</v>
      </c>
      <c r="W10" s="66" t="s">
        <v>21</v>
      </c>
      <c r="X10" s="71">
        <v>3.6</v>
      </c>
      <c r="Y10" s="72" t="s">
        <v>9</v>
      </c>
      <c r="Z10" s="87" t="s">
        <v>11</v>
      </c>
      <c r="AB10" s="66" t="s">
        <v>22</v>
      </c>
      <c r="AC10" s="71">
        <v>4.45</v>
      </c>
      <c r="AD10" s="72" t="s">
        <v>9</v>
      </c>
      <c r="AE10" s="87" t="s">
        <v>11</v>
      </c>
      <c r="AG10" s="66" t="s">
        <v>23</v>
      </c>
      <c r="AH10" s="71">
        <v>4</v>
      </c>
      <c r="AI10" s="72" t="s">
        <v>9</v>
      </c>
      <c r="AJ10" s="87" t="s">
        <v>11</v>
      </c>
      <c r="AL10" s="66" t="s">
        <v>24</v>
      </c>
      <c r="AM10" s="71">
        <v>4</v>
      </c>
      <c r="AN10" s="72" t="s">
        <v>9</v>
      </c>
      <c r="AO10" s="87" t="s">
        <v>11</v>
      </c>
      <c r="AQ10" s="66" t="s">
        <v>25</v>
      </c>
      <c r="AR10" s="71">
        <v>4.5</v>
      </c>
      <c r="AS10" s="72" t="s">
        <v>9</v>
      </c>
      <c r="AT10" s="87" t="s">
        <v>11</v>
      </c>
      <c r="AV10" s="66" t="s">
        <v>26</v>
      </c>
      <c r="AW10" s="71">
        <v>3.7</v>
      </c>
      <c r="AX10" s="72" t="s">
        <v>9</v>
      </c>
      <c r="AY10" s="87" t="s">
        <v>11</v>
      </c>
      <c r="BA10" s="46"/>
      <c r="BB10" s="49"/>
      <c r="BC10" s="50"/>
      <c r="BD10" s="51"/>
      <c r="BG10" s="86"/>
      <c r="BH10" s="82"/>
      <c r="BI10" s="82"/>
      <c r="BL10" s="86"/>
      <c r="BM10" s="82"/>
      <c r="BN10" s="82"/>
      <c r="BQ10" s="86"/>
      <c r="BR10" s="82"/>
      <c r="BS10" s="82"/>
      <c r="BV10" s="86"/>
      <c r="BW10" s="82"/>
      <c r="BX10" s="82"/>
      <c r="CA10" s="86"/>
      <c r="CB10" s="82"/>
      <c r="CC10" s="82"/>
      <c r="CF10" s="86"/>
      <c r="CG10" s="82"/>
      <c r="CH10" s="82"/>
      <c r="CK10" s="86"/>
      <c r="CL10" s="82"/>
      <c r="CM10" s="82"/>
    </row>
    <row r="11" spans="1:91" s="80" customFormat="1" ht="19.5" customHeight="1">
      <c r="A11" s="77" t="s">
        <v>0</v>
      </c>
      <c r="B11" s="84"/>
      <c r="C11" s="85"/>
      <c r="E11" s="66" t="s">
        <v>27</v>
      </c>
      <c r="F11" s="67" t="s">
        <v>10</v>
      </c>
      <c r="H11" s="73" t="s">
        <v>6</v>
      </c>
      <c r="I11" s="74" t="s">
        <v>7</v>
      </c>
      <c r="J11" s="88" t="s">
        <v>8</v>
      </c>
      <c r="K11" s="89" t="s">
        <v>10</v>
      </c>
      <c r="M11" s="73" t="s">
        <v>6</v>
      </c>
      <c r="N11" s="74" t="s">
        <v>7</v>
      </c>
      <c r="O11" s="88" t="s">
        <v>8</v>
      </c>
      <c r="P11" s="89" t="s">
        <v>10</v>
      </c>
      <c r="R11" s="123" t="s">
        <v>54</v>
      </c>
      <c r="S11" s="124" t="s">
        <v>7</v>
      </c>
      <c r="T11" s="125" t="s">
        <v>8</v>
      </c>
      <c r="U11" s="126" t="s">
        <v>10</v>
      </c>
      <c r="W11" s="73" t="s">
        <v>6</v>
      </c>
      <c r="X11" s="74" t="s">
        <v>7</v>
      </c>
      <c r="Y11" s="88" t="s">
        <v>8</v>
      </c>
      <c r="Z11" s="89" t="s">
        <v>10</v>
      </c>
      <c r="AB11" s="73" t="s">
        <v>6</v>
      </c>
      <c r="AC11" s="74" t="s">
        <v>7</v>
      </c>
      <c r="AD11" s="88" t="s">
        <v>8</v>
      </c>
      <c r="AE11" s="89" t="s">
        <v>10</v>
      </c>
      <c r="AG11" s="73" t="s">
        <v>6</v>
      </c>
      <c r="AH11" s="74" t="s">
        <v>7</v>
      </c>
      <c r="AI11" s="88" t="s">
        <v>8</v>
      </c>
      <c r="AJ11" s="89" t="s">
        <v>10</v>
      </c>
      <c r="AL11" s="73" t="s">
        <v>6</v>
      </c>
      <c r="AM11" s="74" t="s">
        <v>7</v>
      </c>
      <c r="AN11" s="88" t="s">
        <v>8</v>
      </c>
      <c r="AO11" s="89" t="s">
        <v>10</v>
      </c>
      <c r="AQ11" s="73" t="s">
        <v>6</v>
      </c>
      <c r="AR11" s="74" t="s">
        <v>7</v>
      </c>
      <c r="AS11" s="88" t="s">
        <v>8</v>
      </c>
      <c r="AT11" s="89" t="s">
        <v>10</v>
      </c>
      <c r="AV11" s="73" t="s">
        <v>6</v>
      </c>
      <c r="AW11" s="74" t="s">
        <v>7</v>
      </c>
      <c r="AX11" s="88" t="s">
        <v>8</v>
      </c>
      <c r="AY11" s="89" t="s">
        <v>10</v>
      </c>
      <c r="BA11" s="52"/>
      <c r="BB11" s="53"/>
      <c r="BC11" s="51"/>
      <c r="BD11" s="51"/>
      <c r="BG11" s="86"/>
      <c r="BH11" s="82"/>
      <c r="BI11" s="82"/>
      <c r="BL11" s="86"/>
      <c r="BM11" s="82"/>
      <c r="BN11" s="82"/>
      <c r="BQ11" s="86"/>
      <c r="BR11" s="82"/>
      <c r="BS11" s="82"/>
      <c r="BV11" s="86"/>
      <c r="BW11" s="82"/>
      <c r="BX11" s="82"/>
      <c r="CA11" s="86"/>
      <c r="CB11" s="82"/>
      <c r="CC11" s="82"/>
      <c r="CF11" s="86"/>
      <c r="CG11" s="82"/>
      <c r="CH11" s="82"/>
      <c r="CK11" s="86"/>
      <c r="CL11" s="82"/>
      <c r="CM11" s="82"/>
    </row>
    <row r="12" spans="1:90" ht="19.5" customHeight="1">
      <c r="A12" s="78" t="str">
        <f>A4</f>
        <v>House of Horror</v>
      </c>
      <c r="E12" s="69">
        <f>SUM(I12,N12,X12,AC12,AH12,AM12,AR12,AW12)</f>
        <v>0.08127314814814815</v>
      </c>
      <c r="F12" s="70">
        <f>RANK(E12,E$12:E$16,2)</f>
        <v>4</v>
      </c>
      <c r="H12" s="75" t="s">
        <v>70</v>
      </c>
      <c r="I12" s="76">
        <v>0.008206018518518519</v>
      </c>
      <c r="J12" s="29">
        <f>I12/Dist8</f>
        <v>0.0027353395061728396</v>
      </c>
      <c r="K12" s="30">
        <f>IF(I12&gt;0,RANK(I12,H$68:H$81,1),)</f>
        <v>2</v>
      </c>
      <c r="L12" s="48"/>
      <c r="M12" s="75" t="s">
        <v>45</v>
      </c>
      <c r="N12" s="76">
        <v>0.009351851851851853</v>
      </c>
      <c r="O12" s="29">
        <f>N12/Dist8</f>
        <v>0.0031172839506172843</v>
      </c>
      <c r="P12" s="30">
        <f>IF(N12&gt;0,RANK(N12,H$68:H$81,1),)</f>
        <v>10</v>
      </c>
      <c r="Q12" s="48"/>
      <c r="R12" s="127" t="str">
        <f>CONCATENATE(H12," &amp; ",M12)</f>
        <v>Glenn Goodman &amp; Jim Grelis</v>
      </c>
      <c r="S12" s="128">
        <f>I12+N12</f>
        <v>0.01755787037037037</v>
      </c>
      <c r="T12" s="129">
        <f>S12/($S$10*2)</f>
        <v>0.0029263117283950617</v>
      </c>
      <c r="U12" s="130">
        <f>IF(S12&gt;0,RANK(S12,S12:S16,1),)</f>
        <v>5</v>
      </c>
      <c r="V12" s="48"/>
      <c r="W12" s="75" t="s">
        <v>68</v>
      </c>
      <c r="X12" s="76">
        <v>0.00954861111111111</v>
      </c>
      <c r="Y12" s="29">
        <f>X12/Dist9</f>
        <v>0.0026523919753086416</v>
      </c>
      <c r="Z12" s="30">
        <f>IF(X12&gt;0,RANK(X12,X$12:X$16,1),)</f>
        <v>1</v>
      </c>
      <c r="AA12" s="48"/>
      <c r="AB12" s="75" t="s">
        <v>71</v>
      </c>
      <c r="AC12" s="76">
        <v>0.011574074074074075</v>
      </c>
      <c r="AD12" s="29">
        <f>AC12/Dist10</f>
        <v>0.002600915522263837</v>
      </c>
      <c r="AE12" s="30">
        <f>IF(AC12&gt;0,RANK(AC12,AC$12:AC$16,1),)</f>
        <v>4</v>
      </c>
      <c r="AF12" s="48"/>
      <c r="AG12" s="75" t="s">
        <v>70</v>
      </c>
      <c r="AH12" s="76">
        <v>0.010381944444444444</v>
      </c>
      <c r="AI12" s="29">
        <f>AH12/Dist11</f>
        <v>0.002595486111111111</v>
      </c>
      <c r="AJ12" s="30">
        <f>IF(AH12&gt;0,RANK(AH12,AH$12:AH$16,1),)</f>
        <v>4</v>
      </c>
      <c r="AK12" s="48"/>
      <c r="AL12" s="75" t="s">
        <v>68</v>
      </c>
      <c r="AM12" s="76">
        <v>0.009768518518518518</v>
      </c>
      <c r="AN12" s="29">
        <f>AM12/Dist12</f>
        <v>0.0024421296296296296</v>
      </c>
      <c r="AO12" s="30">
        <f>IF(AM12&gt;0,RANK(AM12,AM$12:AM$16,1),)</f>
        <v>1</v>
      </c>
      <c r="AP12" s="48"/>
      <c r="AQ12" s="75" t="s">
        <v>71</v>
      </c>
      <c r="AR12" s="76">
        <v>0.012233796296296296</v>
      </c>
      <c r="AS12" s="29">
        <f>AR12/Dist13</f>
        <v>0.0027186213991769546</v>
      </c>
      <c r="AT12" s="30">
        <f>IF(AR12&gt;0,RANK(AR12,AR$12:AR$16,1),)</f>
        <v>5</v>
      </c>
      <c r="AU12" s="48"/>
      <c r="AV12" s="75" t="s">
        <v>45</v>
      </c>
      <c r="AW12" s="76">
        <v>0.010208333333333333</v>
      </c>
      <c r="AX12" s="29">
        <f>AW12/Dist14</f>
        <v>0.002759009009009009</v>
      </c>
      <c r="AY12" s="30">
        <f>IF(AW12&gt;0,RANK(AW12,AW$12:AW$16,1),)</f>
        <v>4</v>
      </c>
      <c r="AZ12" s="48"/>
      <c r="BA12" s="54"/>
      <c r="BB12" s="55"/>
      <c r="BC12" s="56"/>
      <c r="BD12" s="57"/>
      <c r="BE12" s="48"/>
      <c r="BG12" s="62"/>
      <c r="BH12" s="63"/>
      <c r="BL12" s="62"/>
      <c r="BM12" s="63"/>
      <c r="BQ12" s="62"/>
      <c r="BR12" s="63"/>
      <c r="BV12" s="62"/>
      <c r="BW12" s="63"/>
      <c r="CA12" s="62"/>
      <c r="CB12" s="63"/>
      <c r="CF12" s="62"/>
      <c r="CG12" s="63"/>
      <c r="CK12" s="62"/>
      <c r="CL12" s="63"/>
    </row>
    <row r="13" spans="1:90" ht="19.5" customHeight="1">
      <c r="A13" s="78" t="str">
        <f>A5</f>
        <v>Bevo's Bombers</v>
      </c>
      <c r="E13" s="69">
        <f>SUM(I13,N13,X13,AC13,AH13,AM13,AR13,AW13)</f>
        <v>0.08112268518518519</v>
      </c>
      <c r="F13" s="70">
        <f>RANK(E13,E$12:E$16,2)</f>
        <v>3</v>
      </c>
      <c r="H13" s="75" t="s">
        <v>67</v>
      </c>
      <c r="I13" s="76">
        <v>0.008275462962962962</v>
      </c>
      <c r="J13" s="29">
        <f>I13/Dist8</f>
        <v>0.002758487654320987</v>
      </c>
      <c r="K13" s="30">
        <f>IF(I13&gt;0,RANK(I13,H$68:H$81,1),)</f>
        <v>3</v>
      </c>
      <c r="L13" s="48"/>
      <c r="M13" s="75" t="s">
        <v>79</v>
      </c>
      <c r="N13" s="76">
        <v>0.008796296296296297</v>
      </c>
      <c r="O13" s="29">
        <f>N13/Dist8</f>
        <v>0.002932098765432099</v>
      </c>
      <c r="P13" s="30">
        <f>IF(N13&gt;0,RANK(N13,H$68:H$81,1),)</f>
        <v>9</v>
      </c>
      <c r="Q13" s="48"/>
      <c r="R13" s="127" t="str">
        <f>CONCATENATE(H13," &amp; ",M13)</f>
        <v>Craig Harris &amp; Col Marson</v>
      </c>
      <c r="S13" s="128">
        <f>I13+N13</f>
        <v>0.01707175925925926</v>
      </c>
      <c r="T13" s="129">
        <f>S13/($S$10*2)</f>
        <v>0.0028452932098765433</v>
      </c>
      <c r="U13" s="130">
        <f>IF(S13&gt;0,RANK(S13,S12:S16,1),)</f>
        <v>3</v>
      </c>
      <c r="V13" s="48"/>
      <c r="W13" s="75" t="s">
        <v>73</v>
      </c>
      <c r="X13" s="76">
        <v>0.00980324074074074</v>
      </c>
      <c r="Y13" s="29">
        <f>X13/Dist9</f>
        <v>0.002723122427983539</v>
      </c>
      <c r="Z13" s="30">
        <f>IF(X13&gt;0,RANK(X13,X$12:X$16,1),)</f>
        <v>2</v>
      </c>
      <c r="AA13" s="48"/>
      <c r="AB13" s="75" t="s">
        <v>61</v>
      </c>
      <c r="AC13" s="76">
        <v>0.011967592592592592</v>
      </c>
      <c r="AD13" s="29">
        <f>AC13/Dist10</f>
        <v>0.002689346650020807</v>
      </c>
      <c r="AE13" s="30">
        <f>IF(AC13&gt;0,RANK(AC13,AC$12:AC$16,1),)</f>
        <v>5</v>
      </c>
      <c r="AF13" s="48"/>
      <c r="AG13" s="75" t="s">
        <v>67</v>
      </c>
      <c r="AH13" s="76">
        <v>0.010138888888888888</v>
      </c>
      <c r="AI13" s="29">
        <f>AH13/Dist11</f>
        <v>0.002534722222222222</v>
      </c>
      <c r="AJ13" s="30">
        <f>IF(AH13&gt;0,RANK(AH13,AH$12:AH$16,1),)</f>
        <v>1</v>
      </c>
      <c r="AK13" s="48"/>
      <c r="AL13" s="75" t="s">
        <v>79</v>
      </c>
      <c r="AM13" s="76">
        <v>0.012847222222222223</v>
      </c>
      <c r="AN13" s="29">
        <f>AM13/Dist12</f>
        <v>0.003211805555555556</v>
      </c>
      <c r="AO13" s="30">
        <f>IF(AM13&gt;0,RANK(AM13,AM$12:AM$16,1),)</f>
        <v>5</v>
      </c>
      <c r="AP13" s="48"/>
      <c r="AQ13" s="75" t="s">
        <v>73</v>
      </c>
      <c r="AR13" s="76">
        <v>0.010416666666666666</v>
      </c>
      <c r="AS13" s="29">
        <f>AR13/Dist13</f>
        <v>0.0023148148148148147</v>
      </c>
      <c r="AT13" s="30">
        <f>IF(AR13&gt;0,RANK(AR13,AR$12:AR$16,1),)</f>
        <v>2</v>
      </c>
      <c r="AU13" s="48"/>
      <c r="AV13" s="75" t="s">
        <v>61</v>
      </c>
      <c r="AW13" s="76">
        <v>0.008877314814814815</v>
      </c>
      <c r="AX13" s="29">
        <f>AW13/Dist14</f>
        <v>0.002399274274274274</v>
      </c>
      <c r="AY13" s="30">
        <f>IF(AW13&gt;0,RANK(AW13,AW$12:AW$16,1),)</f>
        <v>1</v>
      </c>
      <c r="AZ13" s="48"/>
      <c r="BA13" s="54"/>
      <c r="BB13" s="55"/>
      <c r="BC13" s="56"/>
      <c r="BD13" s="57"/>
      <c r="BE13" s="48"/>
      <c r="BG13" s="62"/>
      <c r="BH13" s="63"/>
      <c r="BL13" s="62"/>
      <c r="BM13" s="63"/>
      <c r="BQ13" s="62"/>
      <c r="BR13" s="63"/>
      <c r="BV13" s="62"/>
      <c r="BW13" s="63"/>
      <c r="CA13" s="62"/>
      <c r="CB13" s="63"/>
      <c r="CF13" s="62"/>
      <c r="CG13" s="63"/>
      <c r="CK13" s="62"/>
      <c r="CL13" s="63"/>
    </row>
    <row r="14" spans="1:90" ht="19.5" customHeight="1">
      <c r="A14" s="78" t="str">
        <f>A6</f>
        <v>Smoothy's Debacle</v>
      </c>
      <c r="E14" s="69">
        <f>SUM(I14,N14,X14,AC14,AH14,AM14,AR14,AW14)</f>
        <v>0.07869212962962963</v>
      </c>
      <c r="F14" s="70">
        <f>RANK(E14,E$12:E$16,2)</f>
        <v>2</v>
      </c>
      <c r="H14" s="75" t="s">
        <v>55</v>
      </c>
      <c r="I14" s="76">
        <v>0.00875</v>
      </c>
      <c r="J14" s="29">
        <f>I14/Dist8</f>
        <v>0.002916666666666667</v>
      </c>
      <c r="K14" s="30">
        <f>IF(I14&gt;0,RANK(I14,H$68:H$81,1),)</f>
        <v>8</v>
      </c>
      <c r="L14" s="48"/>
      <c r="M14" s="75" t="s">
        <v>69</v>
      </c>
      <c r="N14" s="76">
        <v>0.008553240740740741</v>
      </c>
      <c r="O14" s="29">
        <f>N14/Dist8</f>
        <v>0.0028510802469135805</v>
      </c>
      <c r="P14" s="30">
        <f>IF(N14&gt;0,RANK(N14,H$68:H$81,1),)</f>
        <v>5</v>
      </c>
      <c r="Q14" s="48"/>
      <c r="R14" s="127" t="str">
        <f>CONCATENATE(H14," &amp; ",M14)</f>
        <v>Gary O'Dwyer &amp; Luke Goodman</v>
      </c>
      <c r="S14" s="128">
        <f>I14+N14</f>
        <v>0.017303240740740744</v>
      </c>
      <c r="T14" s="129">
        <f>S14/($S$10*2)</f>
        <v>0.002883873456790124</v>
      </c>
      <c r="U14" s="130">
        <f>IF(S14&gt;0,RANK(S14,S12:S16,1),)</f>
        <v>4</v>
      </c>
      <c r="V14" s="48"/>
      <c r="W14" s="75" t="s">
        <v>74</v>
      </c>
      <c r="X14" s="76">
        <v>0.010011574074074074</v>
      </c>
      <c r="Y14" s="29">
        <f>X14/Dist9</f>
        <v>0.0027809927983539094</v>
      </c>
      <c r="Z14" s="30">
        <f>IF(X14&gt;0,RANK(X14,X$12:X$16,1),)</f>
        <v>3</v>
      </c>
      <c r="AA14" s="48"/>
      <c r="AB14" s="75" t="s">
        <v>56</v>
      </c>
      <c r="AC14" s="76">
        <v>0.010243055555555556</v>
      </c>
      <c r="AD14" s="29">
        <f>AC14/Dist10</f>
        <v>0.0023018102372034956</v>
      </c>
      <c r="AE14" s="30">
        <f>IF(AC14&gt;0,RANK(AC14,AC$12:AC$16,1),)</f>
        <v>2</v>
      </c>
      <c r="AF14" s="48"/>
      <c r="AG14" s="75" t="s">
        <v>55</v>
      </c>
      <c r="AH14" s="76">
        <v>0.010289351851851852</v>
      </c>
      <c r="AI14" s="29">
        <f>AH14/Dist11</f>
        <v>0.002572337962962963</v>
      </c>
      <c r="AJ14" s="30">
        <f>IF(AH14&gt;0,RANK(AH14,AH$12:AH$16,1),)</f>
        <v>3</v>
      </c>
      <c r="AK14" s="48"/>
      <c r="AL14" s="75" t="s">
        <v>74</v>
      </c>
      <c r="AM14" s="76">
        <v>0.010659722222222221</v>
      </c>
      <c r="AN14" s="29">
        <f>AM14/Dist12</f>
        <v>0.0026649305555555554</v>
      </c>
      <c r="AO14" s="30">
        <f>IF(AM14&gt;0,RANK(AM14,AM$12:AM$16,1),)</f>
        <v>3</v>
      </c>
      <c r="AP14" s="48"/>
      <c r="AQ14" s="75" t="s">
        <v>56</v>
      </c>
      <c r="AR14" s="76">
        <v>0.010636574074074074</v>
      </c>
      <c r="AS14" s="29">
        <f>AR14/Dist13</f>
        <v>0.0023636831275720164</v>
      </c>
      <c r="AT14" s="30">
        <f>IF(AR14&gt;0,RANK(AR14,AR$12:AR$16,1),)</f>
        <v>3</v>
      </c>
      <c r="AU14" s="48"/>
      <c r="AV14" s="75" t="s">
        <v>69</v>
      </c>
      <c r="AW14" s="76">
        <v>0.00954861111111111</v>
      </c>
      <c r="AX14" s="29">
        <f>AW14/Dist14</f>
        <v>0.0025807057057057052</v>
      </c>
      <c r="AY14" s="30">
        <f>IF(AW14&gt;0,RANK(AW14,AW$12:AW$16,1),)</f>
        <v>2</v>
      </c>
      <c r="AZ14" s="48"/>
      <c r="BA14" s="54"/>
      <c r="BB14" s="55"/>
      <c r="BC14" s="56"/>
      <c r="BD14" s="57"/>
      <c r="BE14" s="48"/>
      <c r="BG14" s="62"/>
      <c r="BH14" s="63"/>
      <c r="BL14" s="62"/>
      <c r="BM14" s="63"/>
      <c r="BQ14" s="62"/>
      <c r="BR14" s="63"/>
      <c r="BV14" s="62"/>
      <c r="BW14" s="63"/>
      <c r="CA14" s="62"/>
      <c r="CB14" s="63"/>
      <c r="CF14" s="62"/>
      <c r="CG14" s="63"/>
      <c r="CK14" s="62"/>
      <c r="CL14" s="63"/>
    </row>
    <row r="15" spans="1:90" ht="19.5" customHeight="1">
      <c r="A15" s="78" t="str">
        <f>A7</f>
        <v>International Rules</v>
      </c>
      <c r="E15" s="69">
        <f>SUM(I15,N15,X15,AC15,AH15,AM15,AR15,AW15)</f>
        <v>0.07819444444444444</v>
      </c>
      <c r="F15" s="70">
        <f>RANK(E15,E$12:E$16,2)</f>
        <v>1</v>
      </c>
      <c r="H15" s="75" t="s">
        <v>75</v>
      </c>
      <c r="I15" s="76">
        <v>0.00832175925925926</v>
      </c>
      <c r="J15" s="29">
        <f>I15/Dist8</f>
        <v>0.0027739197530864197</v>
      </c>
      <c r="K15" s="30">
        <f>IF(I15&gt;0,RANK(I15,H$68:H$81,1),)</f>
        <v>4</v>
      </c>
      <c r="L15" s="48"/>
      <c r="M15" s="75" t="s">
        <v>76</v>
      </c>
      <c r="N15" s="76">
        <v>0.008553240740740741</v>
      </c>
      <c r="O15" s="29">
        <f>N15/Dist8</f>
        <v>0.0028510802469135805</v>
      </c>
      <c r="P15" s="30">
        <f>IF(N15&gt;0,RANK(N15,H$68:H$81,1),)</f>
        <v>5</v>
      </c>
      <c r="Q15" s="48"/>
      <c r="R15" s="127" t="str">
        <f>CONCATENATE(H15," &amp; ",M15)</f>
        <v>Luke Grima &amp; Sean McGaughey</v>
      </c>
      <c r="S15" s="128">
        <f>I15+N15</f>
        <v>0.016875</v>
      </c>
      <c r="T15" s="129">
        <f>S15/($S$10*2)</f>
        <v>0.0028125000000000003</v>
      </c>
      <c r="U15" s="130">
        <f>IF(S15&gt;0,RANK(S15,S12:S16,1),)</f>
        <v>2</v>
      </c>
      <c r="V15" s="48"/>
      <c r="W15" s="75" t="s">
        <v>57</v>
      </c>
      <c r="X15" s="76">
        <v>0.01017361111111111</v>
      </c>
      <c r="Y15" s="29">
        <f>X15/Dist9</f>
        <v>0.002826003086419753</v>
      </c>
      <c r="Z15" s="30">
        <f>IF(X15&gt;0,RANK(X15,X$12:X$16,1),)</f>
        <v>4</v>
      </c>
      <c r="AA15" s="48"/>
      <c r="AB15" s="75" t="s">
        <v>58</v>
      </c>
      <c r="AC15" s="76">
        <v>0.01005787037037037</v>
      </c>
      <c r="AD15" s="29">
        <f>AC15/Dist10</f>
        <v>0.002260195588847274</v>
      </c>
      <c r="AE15" s="30">
        <f>IF(AC15&gt;0,RANK(AC15,AC$12:AC$16,1),)</f>
        <v>1</v>
      </c>
      <c r="AF15" s="48"/>
      <c r="AG15" s="75" t="s">
        <v>75</v>
      </c>
      <c r="AH15" s="76">
        <v>0.010219907407407408</v>
      </c>
      <c r="AI15" s="29">
        <f>AH15/Dist11</f>
        <v>0.002554976851851852</v>
      </c>
      <c r="AJ15" s="30">
        <f>IF(AH15&gt;0,RANK(AH15,AH$12:AH$16,1),)</f>
        <v>2</v>
      </c>
      <c r="AK15" s="48"/>
      <c r="AL15" s="75" t="s">
        <v>57</v>
      </c>
      <c r="AM15" s="76">
        <v>0.010601851851851854</v>
      </c>
      <c r="AN15" s="29">
        <f>AM15/Dist12</f>
        <v>0.0026504629629629634</v>
      </c>
      <c r="AO15" s="30">
        <f>IF(AM15&gt;0,RANK(AM15,AM$12:AM$16,1),)</f>
        <v>2</v>
      </c>
      <c r="AP15" s="48"/>
      <c r="AQ15" s="75" t="s">
        <v>58</v>
      </c>
      <c r="AR15" s="76">
        <v>0.010335648148148148</v>
      </c>
      <c r="AS15" s="29">
        <f>AR15/Dist13</f>
        <v>0.0022968106995884773</v>
      </c>
      <c r="AT15" s="30">
        <f>IF(AR15&gt;0,RANK(AR15,AR$12:AR$16,1),)</f>
        <v>1</v>
      </c>
      <c r="AU15" s="48"/>
      <c r="AV15" s="75" t="s">
        <v>76</v>
      </c>
      <c r="AW15" s="76">
        <v>0.009930555555555555</v>
      </c>
      <c r="AX15" s="29">
        <f>AW15/Dist14</f>
        <v>0.0026839339339339336</v>
      </c>
      <c r="AY15" s="30">
        <f>IF(AW15&gt;0,RANK(AW15,AW$12:AW$16,1),)</f>
        <v>3</v>
      </c>
      <c r="AZ15" s="48"/>
      <c r="BA15" s="54"/>
      <c r="BB15" s="55"/>
      <c r="BC15" s="56"/>
      <c r="BD15" s="57"/>
      <c r="BE15" s="48"/>
      <c r="BG15" s="62"/>
      <c r="BH15" s="63"/>
      <c r="BL15" s="62"/>
      <c r="BM15" s="63"/>
      <c r="BQ15" s="62"/>
      <c r="BR15" s="63"/>
      <c r="BV15" s="62"/>
      <c r="BW15" s="63"/>
      <c r="CA15" s="62"/>
      <c r="CB15" s="63"/>
      <c r="CF15" s="62"/>
      <c r="CG15" s="63"/>
      <c r="CK15" s="62"/>
      <c r="CL15" s="63"/>
    </row>
    <row r="16" spans="1:90" ht="19.5" customHeight="1">
      <c r="A16" s="78" t="str">
        <f>A8</f>
        <v>Forty Odd Foot of Grunt</v>
      </c>
      <c r="E16" s="69">
        <f>SUM(I16,N16,X16,AC16,AH16,AM16,AR16,AW16)</f>
        <v>0.08320601851851853</v>
      </c>
      <c r="F16" s="70">
        <f>RANK(E16,E$12:E$16,2)</f>
        <v>5</v>
      </c>
      <c r="H16" s="75" t="s">
        <v>77</v>
      </c>
      <c r="I16" s="76">
        <v>0.008657407407407407</v>
      </c>
      <c r="J16" s="29">
        <f>I16/Dist8</f>
        <v>0.0028858024691358025</v>
      </c>
      <c r="K16" s="30">
        <f>IF(I16&gt;0,RANK(I16,H$68:H$81,1),)</f>
        <v>7</v>
      </c>
      <c r="L16" s="48"/>
      <c r="M16" s="75" t="s">
        <v>78</v>
      </c>
      <c r="N16" s="76">
        <v>0.008125</v>
      </c>
      <c r="O16" s="29">
        <f>N16/Dist8</f>
        <v>0.0027083333333333334</v>
      </c>
      <c r="P16" s="30">
        <f>IF(N16&gt;0,RANK(N16,H$68:H$81,1),)</f>
        <v>1</v>
      </c>
      <c r="Q16" s="48"/>
      <c r="R16" s="127" t="str">
        <f>CONCATENATE(H16," &amp; ",M16)</f>
        <v>Chris Osborne &amp; Mike Bialczak</v>
      </c>
      <c r="S16" s="128">
        <f>I16+N16</f>
        <v>0.016782407407407406</v>
      </c>
      <c r="T16" s="129">
        <f>S16/($S$10*2)</f>
        <v>0.0027970679012345677</v>
      </c>
      <c r="U16" s="130">
        <f>IF(S16&gt;0,RANK(S16,S13:S16,1),)</f>
        <v>1</v>
      </c>
      <c r="V16" s="48"/>
      <c r="W16" s="75" t="s">
        <v>60</v>
      </c>
      <c r="X16" s="76">
        <v>0.010949074074074075</v>
      </c>
      <c r="Y16" s="29">
        <f>X16/Dist9</f>
        <v>0.003041409465020576</v>
      </c>
      <c r="Z16" s="30">
        <f>IF(X16&gt;0,RANK(X16,X$12:X$16,1),)</f>
        <v>5</v>
      </c>
      <c r="AA16" s="48"/>
      <c r="AB16" s="75" t="s">
        <v>59</v>
      </c>
      <c r="AC16" s="76">
        <v>0.010868055555555556</v>
      </c>
      <c r="AD16" s="29">
        <f>AC16/Dist10</f>
        <v>0.002442259675405743</v>
      </c>
      <c r="AE16" s="30">
        <f>IF(AC16&gt;0,RANK(AC16,AC$12:AC$16,1),)</f>
        <v>3</v>
      </c>
      <c r="AF16" s="48"/>
      <c r="AG16" s="75" t="s">
        <v>77</v>
      </c>
      <c r="AH16" s="76">
        <v>0.010949074074074075</v>
      </c>
      <c r="AI16" s="29">
        <f>AH16/Dist11</f>
        <v>0.0027372685185185187</v>
      </c>
      <c r="AJ16" s="30">
        <f>IF(AH16&gt;0,RANK(AH16,AH$12:AH$16,1),)</f>
        <v>5</v>
      </c>
      <c r="AK16" s="48"/>
      <c r="AL16" s="75" t="s">
        <v>60</v>
      </c>
      <c r="AM16" s="76">
        <v>0.012083333333333333</v>
      </c>
      <c r="AN16" s="29">
        <f>AM16/Dist12</f>
        <v>0.0030208333333333333</v>
      </c>
      <c r="AO16" s="30">
        <f>IF(AM16&gt;0,RANK(AM16,AM$12:AM$16,1),)</f>
        <v>4</v>
      </c>
      <c r="AP16" s="48"/>
      <c r="AQ16" s="75" t="s">
        <v>59</v>
      </c>
      <c r="AR16" s="76">
        <v>0.011157407407407408</v>
      </c>
      <c r="AS16" s="29">
        <f>AR16/Dist13</f>
        <v>0.0024794238683127573</v>
      </c>
      <c r="AT16" s="30">
        <f>IF(AR16&gt;0,RANK(AR16,AR$12:AR$16,1),)</f>
        <v>4</v>
      </c>
      <c r="AU16" s="48"/>
      <c r="AV16" s="75" t="s">
        <v>78</v>
      </c>
      <c r="AW16" s="76">
        <v>0.010416666666666666</v>
      </c>
      <c r="AX16" s="29">
        <f>AW16/Dist14</f>
        <v>0.002815315315315315</v>
      </c>
      <c r="AY16" s="30">
        <f>IF(AW16&gt;0,RANK(AW16,AW$12:AW$16,1),)</f>
        <v>5</v>
      </c>
      <c r="AZ16" s="48"/>
      <c r="BA16" s="54"/>
      <c r="BB16" s="55"/>
      <c r="BC16" s="56"/>
      <c r="BD16" s="57"/>
      <c r="BE16" s="48"/>
      <c r="BG16" s="62"/>
      <c r="BH16" s="63"/>
      <c r="BL16" s="62"/>
      <c r="BM16" s="63"/>
      <c r="BQ16" s="62"/>
      <c r="BR16" s="63"/>
      <c r="BV16" s="62"/>
      <c r="BW16" s="63"/>
      <c r="CA16" s="62"/>
      <c r="CB16" s="63"/>
      <c r="CF16" s="62"/>
      <c r="CG16" s="63"/>
      <c r="CK16" s="62"/>
      <c r="CL16" s="63"/>
    </row>
    <row r="18" ht="30" customHeight="1"/>
    <row r="19" ht="30" customHeight="1"/>
    <row r="20" ht="30" customHeight="1"/>
    <row r="21" ht="30" customHeight="1"/>
    <row r="22" ht="30" customHeight="1"/>
    <row r="23" ht="12.75">
      <c r="A23" s="58" t="s">
        <v>0</v>
      </c>
    </row>
    <row r="24" spans="1:9" ht="12.75">
      <c r="A24" s="58">
        <v>1</v>
      </c>
      <c r="B24" s="58" t="str">
        <f>'Team Selection'!D3</f>
        <v>Stephen Paine</v>
      </c>
      <c r="C24" s="58" t="str">
        <f>'Team Selection'!F3</f>
        <v>Paul Marsh</v>
      </c>
      <c r="D24" s="58" t="str">
        <f>'Team Selection'!H3</f>
        <v>Glenn Goodman</v>
      </c>
      <c r="E24" s="58" t="str">
        <f>'Team Selection'!J3</f>
        <v>Jim Grelis</v>
      </c>
      <c r="F24" s="63"/>
      <c r="I24" s="63"/>
    </row>
    <row r="25" spans="1:9" ht="12.75">
      <c r="A25" s="58">
        <v>2</v>
      </c>
      <c r="B25" s="58" t="str">
        <f>'Team Selection'!D4</f>
        <v>Simon Bevage</v>
      </c>
      <c r="C25" s="58" t="str">
        <f>'Team Selection'!F4</f>
        <v>Matt Sandilands</v>
      </c>
      <c r="D25" s="58" t="str">
        <f>'Team Selection'!H4</f>
        <v>Craig Harris</v>
      </c>
      <c r="E25" s="58" t="str">
        <f>'Team Selection'!J4</f>
        <v>Col Marson</v>
      </c>
      <c r="F25" s="63"/>
      <c r="I25" s="63"/>
    </row>
    <row r="26" spans="1:9" ht="12.75">
      <c r="A26" s="58">
        <v>3</v>
      </c>
      <c r="B26" s="58" t="str">
        <f>'Team Selection'!D5</f>
        <v>David Venour</v>
      </c>
      <c r="C26" s="58" t="str">
        <f>'Team Selection'!F5</f>
        <v>Patrick O'Keefe</v>
      </c>
      <c r="D26" s="58" t="str">
        <f>'Team Selection'!H5</f>
        <v>Gary O'Dwyer</v>
      </c>
      <c r="E26" s="58" t="str">
        <f>'Team Selection'!J5</f>
        <v>Luke Goodman</v>
      </c>
      <c r="F26" s="63"/>
      <c r="I26" s="63"/>
    </row>
    <row r="27" spans="1:9" ht="12.75">
      <c r="A27" s="58">
        <v>4</v>
      </c>
      <c r="B27" s="58" t="str">
        <f>'Team Selection'!D6</f>
        <v>Anthony Lee</v>
      </c>
      <c r="C27" s="58" t="str">
        <f>'Team Selection'!F6</f>
        <v>Troy Williams</v>
      </c>
      <c r="D27" s="58" t="str">
        <f>'Team Selection'!H6</f>
        <v>Luke Grima</v>
      </c>
      <c r="E27" s="58" t="str">
        <f>'Team Selection'!J6</f>
        <v>Sean McGaughey</v>
      </c>
      <c r="F27" s="63"/>
      <c r="I27" s="63"/>
    </row>
    <row r="28" spans="1:9" ht="12.75">
      <c r="A28" s="58">
        <v>5</v>
      </c>
      <c r="B28" s="58" t="str">
        <f>'Team Selection'!D7</f>
        <v>Anthony Weiland</v>
      </c>
      <c r="C28" s="58" t="str">
        <f>'Team Selection'!F7</f>
        <v>Anthony Mithen</v>
      </c>
      <c r="D28" s="58" t="str">
        <f>'Team Selection'!H7</f>
        <v>Chris Osborne</v>
      </c>
      <c r="E28" s="58" t="str">
        <f>'Team Selection'!J7</f>
        <v>Mike Bialczak</v>
      </c>
      <c r="F28" s="63"/>
      <c r="I28" s="63"/>
    </row>
    <row r="29" spans="9:49" ht="12.75">
      <c r="I29" s="55"/>
      <c r="N29" s="55"/>
      <c r="S29" s="135"/>
      <c r="X29" s="55"/>
      <c r="AC29" s="55"/>
      <c r="AH29" s="55"/>
      <c r="AM29" s="55"/>
      <c r="AR29" s="55"/>
      <c r="AW29" s="55"/>
    </row>
    <row r="30" spans="9:49" ht="12.75">
      <c r="I30" s="55"/>
      <c r="N30" s="55"/>
      <c r="S30" s="135"/>
      <c r="X30" s="55"/>
      <c r="AC30" s="55"/>
      <c r="AH30" s="55"/>
      <c r="AM30" s="55"/>
      <c r="AR30" s="55"/>
      <c r="AW30" s="55"/>
    </row>
    <row r="31" spans="9:49" ht="12.75">
      <c r="I31" s="55"/>
      <c r="S31" s="135"/>
      <c r="X31" s="55"/>
      <c r="AC31" s="55"/>
      <c r="AH31" s="55"/>
      <c r="AM31" s="55"/>
      <c r="AR31" s="55"/>
      <c r="AW31" s="55"/>
    </row>
    <row r="32" spans="9:49" ht="12.75">
      <c r="I32" s="55"/>
      <c r="S32" s="135"/>
      <c r="X32" s="55"/>
      <c r="AC32" s="55"/>
      <c r="AH32" s="55"/>
      <c r="AM32" s="55"/>
      <c r="AR32" s="55"/>
      <c r="AW32" s="55"/>
    </row>
    <row r="33" spans="9:49" ht="12.75">
      <c r="I33" s="55"/>
      <c r="S33" s="135"/>
      <c r="X33" s="55"/>
      <c r="AC33" s="55"/>
      <c r="AH33" s="55"/>
      <c r="AM33" s="55"/>
      <c r="AR33" s="55"/>
      <c r="AW33" s="55"/>
    </row>
    <row r="41" ht="12.75">
      <c r="L41" s="80"/>
    </row>
    <row r="42" ht="12.75">
      <c r="L42" s="80"/>
    </row>
    <row r="43" ht="12.75">
      <c r="L43" s="48"/>
    </row>
    <row r="44" ht="12.75">
      <c r="L44" s="48"/>
    </row>
    <row r="45" ht="12.75">
      <c r="L45" s="48"/>
    </row>
    <row r="46" ht="12.75">
      <c r="L46" s="48"/>
    </row>
    <row r="47" spans="12:15" ht="12.75">
      <c r="L47" s="48"/>
      <c r="N47" s="62"/>
      <c r="O47" s="63"/>
    </row>
    <row r="48" ht="12.75">
      <c r="L48" s="48"/>
    </row>
    <row r="49" ht="12.75">
      <c r="L49" s="48"/>
    </row>
    <row r="50" spans="9:10" ht="12.75">
      <c r="I50" s="62"/>
      <c r="J50" s="63"/>
    </row>
    <row r="51" spans="8:91" ht="12.75">
      <c r="H51" s="66" t="s">
        <v>65</v>
      </c>
      <c r="J51" s="80"/>
      <c r="N51" s="134"/>
      <c r="O51" s="131"/>
      <c r="P51" s="133"/>
      <c r="R51" s="61"/>
      <c r="S51" s="64"/>
      <c r="T51" s="61"/>
      <c r="U51" s="63"/>
      <c r="CK51" s="61"/>
      <c r="CM51" s="61"/>
    </row>
    <row r="52" spans="8:91" ht="12.75">
      <c r="H52" s="76">
        <f>I4</f>
        <v>0.0069097222222222225</v>
      </c>
      <c r="L52" s="48"/>
      <c r="N52" s="61"/>
      <c r="O52" s="63"/>
      <c r="P52" s="61"/>
      <c r="Q52" s="131"/>
      <c r="R52" s="134"/>
      <c r="S52" s="131"/>
      <c r="T52" s="133"/>
      <c r="U52" s="61"/>
      <c r="W52" s="64"/>
      <c r="X52" s="61"/>
      <c r="Y52" s="63"/>
      <c r="Z52" s="61"/>
      <c r="AB52" s="64"/>
      <c r="AC52" s="61"/>
      <c r="AD52" s="63"/>
      <c r="AE52" s="61"/>
      <c r="AG52" s="64"/>
      <c r="AH52" s="61"/>
      <c r="AI52" s="63"/>
      <c r="AJ52" s="61"/>
      <c r="AL52" s="64"/>
      <c r="AM52" s="61"/>
      <c r="AN52" s="63"/>
      <c r="AO52" s="61"/>
      <c r="AQ52" s="64"/>
      <c r="AR52" s="61"/>
      <c r="AS52" s="63"/>
      <c r="AT52" s="61"/>
      <c r="AV52" s="64"/>
      <c r="AW52" s="61"/>
      <c r="AX52" s="63"/>
      <c r="AY52" s="61"/>
      <c r="BA52" s="64"/>
      <c r="BB52" s="61"/>
      <c r="BC52" s="63"/>
      <c r="BD52" s="61"/>
      <c r="BF52" s="64"/>
      <c r="BG52" s="61"/>
      <c r="BH52" s="63"/>
      <c r="BI52" s="61"/>
      <c r="BK52" s="64"/>
      <c r="BL52" s="61"/>
      <c r="BM52" s="63"/>
      <c r="BN52" s="61"/>
      <c r="BP52" s="64"/>
      <c r="BQ52" s="61"/>
      <c r="BR52" s="63"/>
      <c r="BS52" s="61"/>
      <c r="BU52" s="64"/>
      <c r="BV52" s="61"/>
      <c r="BW52" s="63"/>
      <c r="BX52" s="61"/>
      <c r="BZ52" s="64"/>
      <c r="CA52" s="61"/>
      <c r="CB52" s="63"/>
      <c r="CC52" s="61"/>
      <c r="CE52" s="64"/>
      <c r="CF52" s="61"/>
      <c r="CG52" s="63"/>
      <c r="CH52" s="61"/>
      <c r="CJ52" s="64"/>
      <c r="CK52" s="61"/>
      <c r="CL52" s="63"/>
      <c r="CM52" s="61"/>
    </row>
    <row r="53" spans="8:91" ht="12.75">
      <c r="H53" s="76">
        <f>I5</f>
        <v>0.007071759259259259</v>
      </c>
      <c r="L53" s="48"/>
      <c r="N53" s="61"/>
      <c r="O53" s="63"/>
      <c r="P53" s="61"/>
      <c r="Q53" s="131"/>
      <c r="R53" s="134"/>
      <c r="S53" s="131"/>
      <c r="T53" s="133"/>
      <c r="U53" s="61"/>
      <c r="W53" s="64"/>
      <c r="X53" s="61"/>
      <c r="Y53" s="63"/>
      <c r="Z53" s="61"/>
      <c r="AB53" s="64"/>
      <c r="AC53" s="61"/>
      <c r="AD53" s="63"/>
      <c r="AE53" s="61"/>
      <c r="AG53" s="64"/>
      <c r="AH53" s="61"/>
      <c r="AI53" s="63"/>
      <c r="AJ53" s="61"/>
      <c r="AL53" s="64"/>
      <c r="AM53" s="61"/>
      <c r="AN53" s="63"/>
      <c r="AO53" s="61"/>
      <c r="AQ53" s="64"/>
      <c r="AR53" s="61"/>
      <c r="AS53" s="63"/>
      <c r="AT53" s="61"/>
      <c r="AV53" s="64"/>
      <c r="AW53" s="61"/>
      <c r="AX53" s="63"/>
      <c r="AY53" s="61"/>
      <c r="BA53" s="64"/>
      <c r="BB53" s="61"/>
      <c r="BC53" s="63"/>
      <c r="BD53" s="61"/>
      <c r="BF53" s="64"/>
      <c r="BG53" s="61"/>
      <c r="BH53" s="63"/>
      <c r="BI53" s="61"/>
      <c r="BK53" s="64"/>
      <c r="BL53" s="61"/>
      <c r="BM53" s="63"/>
      <c r="BN53" s="61"/>
      <c r="BP53" s="64"/>
      <c r="BQ53" s="61"/>
      <c r="BR53" s="63"/>
      <c r="BS53" s="61"/>
      <c r="BU53" s="64"/>
      <c r="BV53" s="61"/>
      <c r="BW53" s="63"/>
      <c r="BX53" s="61"/>
      <c r="BZ53" s="64"/>
      <c r="CA53" s="61"/>
      <c r="CB53" s="63"/>
      <c r="CC53" s="61"/>
      <c r="CE53" s="64"/>
      <c r="CF53" s="61"/>
      <c r="CG53" s="63"/>
      <c r="CH53" s="61"/>
      <c r="CJ53" s="64"/>
      <c r="CK53" s="61"/>
      <c r="CL53" s="63"/>
      <c r="CM53" s="61"/>
    </row>
    <row r="54" spans="8:91" ht="12.75">
      <c r="H54" s="76">
        <f>I6</f>
        <v>0.007025462962962963</v>
      </c>
      <c r="L54" s="48"/>
      <c r="N54" s="61"/>
      <c r="O54" s="63"/>
      <c r="P54" s="61"/>
      <c r="Q54" s="131"/>
      <c r="R54" s="134"/>
      <c r="S54" s="131"/>
      <c r="T54" s="133"/>
      <c r="U54" s="61"/>
      <c r="W54" s="64"/>
      <c r="X54" s="61"/>
      <c r="Y54" s="63"/>
      <c r="Z54" s="61"/>
      <c r="AB54" s="64"/>
      <c r="AC54" s="61"/>
      <c r="AD54" s="63"/>
      <c r="AE54" s="61"/>
      <c r="AG54" s="64"/>
      <c r="AH54" s="61"/>
      <c r="AI54" s="63"/>
      <c r="AJ54" s="61"/>
      <c r="AL54" s="64"/>
      <c r="AM54" s="61"/>
      <c r="AN54" s="63"/>
      <c r="AO54" s="61"/>
      <c r="AQ54" s="64"/>
      <c r="AR54" s="61"/>
      <c r="AS54" s="63"/>
      <c r="AT54" s="61"/>
      <c r="AV54" s="64"/>
      <c r="AW54" s="61"/>
      <c r="AX54" s="63"/>
      <c r="AY54" s="61"/>
      <c r="BA54" s="64"/>
      <c r="BB54" s="61"/>
      <c r="BC54" s="63"/>
      <c r="BD54" s="61"/>
      <c r="BF54" s="64"/>
      <c r="BG54" s="61"/>
      <c r="BH54" s="63"/>
      <c r="BI54" s="61"/>
      <c r="BK54" s="64"/>
      <c r="BL54" s="61"/>
      <c r="BM54" s="63"/>
      <c r="BN54" s="61"/>
      <c r="BP54" s="64"/>
      <c r="BQ54" s="61"/>
      <c r="BR54" s="63"/>
      <c r="BS54" s="61"/>
      <c r="BU54" s="64"/>
      <c r="BV54" s="61"/>
      <c r="BW54" s="63"/>
      <c r="BX54" s="61"/>
      <c r="BZ54" s="64"/>
      <c r="CA54" s="61"/>
      <c r="CB54" s="63"/>
      <c r="CC54" s="61"/>
      <c r="CE54" s="64"/>
      <c r="CF54" s="61"/>
      <c r="CG54" s="63"/>
      <c r="CH54" s="61"/>
      <c r="CJ54" s="64"/>
      <c r="CK54" s="61"/>
      <c r="CL54" s="63"/>
      <c r="CM54" s="61"/>
    </row>
    <row r="55" spans="8:91" ht="12.75">
      <c r="H55" s="76">
        <f>I7</f>
        <v>0.007546296296296297</v>
      </c>
      <c r="L55" s="48"/>
      <c r="N55" s="61"/>
      <c r="O55" s="63"/>
      <c r="P55" s="61"/>
      <c r="Q55" s="131"/>
      <c r="R55" s="134"/>
      <c r="S55" s="131"/>
      <c r="T55" s="133"/>
      <c r="U55" s="61"/>
      <c r="W55" s="64"/>
      <c r="X55" s="61"/>
      <c r="Y55" s="63"/>
      <c r="Z55" s="61"/>
      <c r="AB55" s="64"/>
      <c r="AC55" s="61"/>
      <c r="AD55" s="63"/>
      <c r="AE55" s="61"/>
      <c r="AG55" s="64"/>
      <c r="AH55" s="61"/>
      <c r="AI55" s="63"/>
      <c r="AJ55" s="61"/>
      <c r="AL55" s="64"/>
      <c r="AM55" s="61"/>
      <c r="AN55" s="63"/>
      <c r="AO55" s="61"/>
      <c r="AQ55" s="64"/>
      <c r="AR55" s="61"/>
      <c r="AS55" s="63"/>
      <c r="AT55" s="61"/>
      <c r="AV55" s="64"/>
      <c r="AW55" s="61"/>
      <c r="AX55" s="63"/>
      <c r="AY55" s="61"/>
      <c r="BA55" s="64"/>
      <c r="BB55" s="61"/>
      <c r="BC55" s="63"/>
      <c r="BD55" s="61"/>
      <c r="BF55" s="64"/>
      <c r="BG55" s="61"/>
      <c r="BH55" s="63"/>
      <c r="BI55" s="61"/>
      <c r="BK55" s="64"/>
      <c r="BL55" s="61"/>
      <c r="BM55" s="63"/>
      <c r="BN55" s="61"/>
      <c r="BP55" s="64"/>
      <c r="BQ55" s="61"/>
      <c r="BR55" s="63"/>
      <c r="BS55" s="61"/>
      <c r="BU55" s="64"/>
      <c r="BV55" s="61"/>
      <c r="BW55" s="63"/>
      <c r="BX55" s="61"/>
      <c r="BZ55" s="64"/>
      <c r="CA55" s="61"/>
      <c r="CB55" s="63"/>
      <c r="CC55" s="61"/>
      <c r="CE55" s="64"/>
      <c r="CF55" s="61"/>
      <c r="CG55" s="63"/>
      <c r="CH55" s="61"/>
      <c r="CJ55" s="64"/>
      <c r="CK55" s="61"/>
      <c r="CL55" s="63"/>
      <c r="CM55" s="61"/>
    </row>
    <row r="56" spans="8:91" ht="12.75">
      <c r="H56" s="76">
        <f>I8</f>
        <v>0.0076157407407407415</v>
      </c>
      <c r="L56" s="48"/>
      <c r="N56" s="61"/>
      <c r="O56" s="63"/>
      <c r="P56" s="61"/>
      <c r="Q56" s="131"/>
      <c r="R56" s="134"/>
      <c r="S56" s="131"/>
      <c r="T56" s="133"/>
      <c r="U56" s="61"/>
      <c r="W56" s="64"/>
      <c r="X56" s="61"/>
      <c r="Y56" s="63"/>
      <c r="Z56" s="61"/>
      <c r="AB56" s="64"/>
      <c r="AC56" s="61"/>
      <c r="AD56" s="63"/>
      <c r="AE56" s="61"/>
      <c r="AG56" s="64"/>
      <c r="AH56" s="61"/>
      <c r="AI56" s="63"/>
      <c r="AJ56" s="61"/>
      <c r="AL56" s="64"/>
      <c r="AM56" s="61"/>
      <c r="AN56" s="63"/>
      <c r="AO56" s="61"/>
      <c r="AQ56" s="64"/>
      <c r="AR56" s="61"/>
      <c r="AS56" s="63"/>
      <c r="AT56" s="61"/>
      <c r="AV56" s="64"/>
      <c r="AW56" s="61"/>
      <c r="AX56" s="63"/>
      <c r="AY56" s="61"/>
      <c r="BA56" s="64"/>
      <c r="BB56" s="61"/>
      <c r="BC56" s="63"/>
      <c r="BD56" s="61"/>
      <c r="BF56" s="64"/>
      <c r="BG56" s="61"/>
      <c r="BH56" s="63"/>
      <c r="BI56" s="61"/>
      <c r="BK56" s="64"/>
      <c r="BL56" s="61"/>
      <c r="BM56" s="63"/>
      <c r="BN56" s="61"/>
      <c r="BP56" s="64"/>
      <c r="BQ56" s="61"/>
      <c r="BR56" s="63"/>
      <c r="BS56" s="61"/>
      <c r="BU56" s="64"/>
      <c r="BV56" s="61"/>
      <c r="BW56" s="63"/>
      <c r="BX56" s="61"/>
      <c r="BZ56" s="64"/>
      <c r="CA56" s="61"/>
      <c r="CB56" s="63"/>
      <c r="CC56" s="61"/>
      <c r="CE56" s="64"/>
      <c r="CF56" s="61"/>
      <c r="CG56" s="63"/>
      <c r="CH56" s="61"/>
      <c r="CJ56" s="64"/>
      <c r="CK56" s="61"/>
      <c r="CL56" s="63"/>
      <c r="CM56" s="61"/>
    </row>
    <row r="57" spans="8:91" ht="12.75">
      <c r="H57" s="76">
        <f>N4</f>
        <v>0.007997685185185186</v>
      </c>
      <c r="L57" s="48"/>
      <c r="N57" s="61"/>
      <c r="O57" s="63"/>
      <c r="P57" s="61"/>
      <c r="Q57" s="131"/>
      <c r="R57" s="134"/>
      <c r="S57" s="131"/>
      <c r="T57" s="133"/>
      <c r="U57" s="61"/>
      <c r="W57" s="64"/>
      <c r="X57" s="61"/>
      <c r="Y57" s="63"/>
      <c r="Z57" s="61"/>
      <c r="AB57" s="64"/>
      <c r="AC57" s="61"/>
      <c r="AD57" s="63"/>
      <c r="AE57" s="61"/>
      <c r="AG57" s="64"/>
      <c r="AH57" s="61"/>
      <c r="AI57" s="63"/>
      <c r="AJ57" s="61"/>
      <c r="AL57" s="64"/>
      <c r="AM57" s="61"/>
      <c r="AN57" s="63"/>
      <c r="AO57" s="61"/>
      <c r="AQ57" s="64"/>
      <c r="AR57" s="61"/>
      <c r="AS57" s="63"/>
      <c r="AT57" s="61"/>
      <c r="AV57" s="64"/>
      <c r="AW57" s="61"/>
      <c r="AX57" s="63"/>
      <c r="AY57" s="61"/>
      <c r="BA57" s="64"/>
      <c r="BB57" s="61"/>
      <c r="BC57" s="63"/>
      <c r="BD57" s="61"/>
      <c r="BF57" s="64"/>
      <c r="BG57" s="61"/>
      <c r="BH57" s="63"/>
      <c r="BI57" s="61"/>
      <c r="BK57" s="64"/>
      <c r="BL57" s="61"/>
      <c r="BM57" s="63"/>
      <c r="BN57" s="61"/>
      <c r="BP57" s="64"/>
      <c r="BQ57" s="61"/>
      <c r="BR57" s="63"/>
      <c r="BS57" s="61"/>
      <c r="BU57" s="64"/>
      <c r="BV57" s="61"/>
      <c r="BW57" s="63"/>
      <c r="BX57" s="61"/>
      <c r="BZ57" s="64"/>
      <c r="CA57" s="61"/>
      <c r="CB57" s="63"/>
      <c r="CC57" s="61"/>
      <c r="CE57" s="64"/>
      <c r="CF57" s="61"/>
      <c r="CG57" s="63"/>
      <c r="CH57" s="61"/>
      <c r="CJ57" s="64"/>
      <c r="CK57" s="61"/>
      <c r="CL57" s="63"/>
      <c r="CM57" s="61"/>
    </row>
    <row r="58" spans="8:91" ht="12.75">
      <c r="H58" s="76">
        <f>N5</f>
        <v>0.008206018518518519</v>
      </c>
      <c r="L58" s="48"/>
      <c r="N58" s="61"/>
      <c r="O58" s="63"/>
      <c r="P58" s="61"/>
      <c r="Q58" s="131"/>
      <c r="R58" s="134"/>
      <c r="S58" s="131"/>
      <c r="T58" s="133"/>
      <c r="U58" s="61"/>
      <c r="W58" s="64"/>
      <c r="X58" s="61"/>
      <c r="Y58" s="63"/>
      <c r="Z58" s="61"/>
      <c r="AB58" s="64"/>
      <c r="AC58" s="61"/>
      <c r="AD58" s="63"/>
      <c r="AE58" s="61"/>
      <c r="AG58" s="64"/>
      <c r="AH58" s="61"/>
      <c r="AI58" s="63"/>
      <c r="AJ58" s="61"/>
      <c r="AL58" s="64"/>
      <c r="AM58" s="61"/>
      <c r="AN58" s="63"/>
      <c r="AO58" s="61"/>
      <c r="AQ58" s="64"/>
      <c r="AR58" s="61"/>
      <c r="AS58" s="63"/>
      <c r="AT58" s="61"/>
      <c r="AV58" s="64"/>
      <c r="AW58" s="61"/>
      <c r="AX58" s="63"/>
      <c r="AY58" s="61"/>
      <c r="BA58" s="64"/>
      <c r="BB58" s="61"/>
      <c r="BC58" s="63"/>
      <c r="BD58" s="61"/>
      <c r="BF58" s="64"/>
      <c r="BG58" s="61"/>
      <c r="BH58" s="63"/>
      <c r="BI58" s="61"/>
      <c r="BK58" s="64"/>
      <c r="BL58" s="61"/>
      <c r="BM58" s="63"/>
      <c r="BN58" s="61"/>
      <c r="BP58" s="64"/>
      <c r="BQ58" s="61"/>
      <c r="BR58" s="63"/>
      <c r="BS58" s="61"/>
      <c r="BU58" s="64"/>
      <c r="BV58" s="61"/>
      <c r="BW58" s="63"/>
      <c r="BX58" s="61"/>
      <c r="BZ58" s="64"/>
      <c r="CA58" s="61"/>
      <c r="CB58" s="63"/>
      <c r="CC58" s="61"/>
      <c r="CE58" s="64"/>
      <c r="CF58" s="61"/>
      <c r="CG58" s="63"/>
      <c r="CH58" s="61"/>
      <c r="CJ58" s="64"/>
      <c r="CK58" s="61"/>
      <c r="CL58" s="63"/>
      <c r="CM58" s="61"/>
    </row>
    <row r="59" spans="8:91" ht="12.75">
      <c r="H59" s="76">
        <f>N6</f>
        <v>0.007337962962962963</v>
      </c>
      <c r="N59" s="61"/>
      <c r="O59" s="63"/>
      <c r="P59" s="61"/>
      <c r="Q59" s="131"/>
      <c r="R59" s="134"/>
      <c r="S59" s="131"/>
      <c r="T59" s="133"/>
      <c r="U59" s="61"/>
      <c r="W59" s="64"/>
      <c r="X59" s="61"/>
      <c r="Y59" s="63"/>
      <c r="Z59" s="61"/>
      <c r="AB59" s="64"/>
      <c r="AC59" s="61"/>
      <c r="AD59" s="63"/>
      <c r="AE59" s="61"/>
      <c r="AG59" s="64"/>
      <c r="AH59" s="61"/>
      <c r="AI59" s="63"/>
      <c r="AJ59" s="61"/>
      <c r="AL59" s="64"/>
      <c r="AM59" s="61"/>
      <c r="AN59" s="63"/>
      <c r="AO59" s="61"/>
      <c r="AQ59" s="64"/>
      <c r="AR59" s="61"/>
      <c r="AS59" s="63"/>
      <c r="AT59" s="61"/>
      <c r="AV59" s="64"/>
      <c r="AW59" s="61"/>
      <c r="AX59" s="63"/>
      <c r="AY59" s="61"/>
      <c r="BA59" s="64"/>
      <c r="BB59" s="61"/>
      <c r="BC59" s="63"/>
      <c r="BD59" s="61"/>
      <c r="BF59" s="64"/>
      <c r="BG59" s="61"/>
      <c r="BH59" s="63"/>
      <c r="BI59" s="61"/>
      <c r="BK59" s="64"/>
      <c r="BL59" s="61"/>
      <c r="BM59" s="63"/>
      <c r="BN59" s="61"/>
      <c r="BP59" s="64"/>
      <c r="BQ59" s="61"/>
      <c r="BR59" s="63"/>
      <c r="BS59" s="61"/>
      <c r="BU59" s="64"/>
      <c r="BV59" s="61"/>
      <c r="BW59" s="63"/>
      <c r="BX59" s="61"/>
      <c r="BZ59" s="64"/>
      <c r="CA59" s="61"/>
      <c r="CB59" s="63"/>
      <c r="CC59" s="61"/>
      <c r="CE59" s="64"/>
      <c r="CF59" s="61"/>
      <c r="CG59" s="63"/>
      <c r="CH59" s="61"/>
      <c r="CJ59" s="64"/>
      <c r="CK59" s="61"/>
      <c r="CL59" s="63"/>
      <c r="CM59" s="61"/>
    </row>
    <row r="60" spans="8:91" ht="12.75">
      <c r="H60" s="76">
        <f>N7</f>
        <v>0.0072106481481481475</v>
      </c>
      <c r="N60" s="61"/>
      <c r="O60" s="63"/>
      <c r="P60" s="61"/>
      <c r="Q60" s="131"/>
      <c r="R60" s="134"/>
      <c r="S60" s="131"/>
      <c r="T60" s="133"/>
      <c r="U60" s="61"/>
      <c r="W60" s="64"/>
      <c r="X60" s="61"/>
      <c r="Y60" s="63"/>
      <c r="Z60" s="61"/>
      <c r="AB60" s="64"/>
      <c r="AC60" s="61"/>
      <c r="AD60" s="63"/>
      <c r="AE60" s="61"/>
      <c r="AG60" s="64"/>
      <c r="AH60" s="61"/>
      <c r="AI60" s="63"/>
      <c r="AJ60" s="61"/>
      <c r="AL60" s="64"/>
      <c r="AM60" s="61"/>
      <c r="AN60" s="63"/>
      <c r="AO60" s="61"/>
      <c r="AQ60" s="64"/>
      <c r="AR60" s="61"/>
      <c r="AS60" s="63"/>
      <c r="AT60" s="61"/>
      <c r="AV60" s="64"/>
      <c r="AW60" s="61"/>
      <c r="AX60" s="63"/>
      <c r="AY60" s="61"/>
      <c r="BA60" s="64"/>
      <c r="BB60" s="61"/>
      <c r="BC60" s="63"/>
      <c r="BD60" s="61"/>
      <c r="BF60" s="64"/>
      <c r="BG60" s="61"/>
      <c r="BH60" s="63"/>
      <c r="BI60" s="61"/>
      <c r="BK60" s="64"/>
      <c r="BL60" s="61"/>
      <c r="BM60" s="63"/>
      <c r="BN60" s="61"/>
      <c r="BP60" s="64"/>
      <c r="BQ60" s="61"/>
      <c r="BR60" s="63"/>
      <c r="BS60" s="61"/>
      <c r="BU60" s="64"/>
      <c r="BV60" s="61"/>
      <c r="BW60" s="63"/>
      <c r="BX60" s="61"/>
      <c r="BZ60" s="64"/>
      <c r="CA60" s="61"/>
      <c r="CB60" s="63"/>
      <c r="CC60" s="61"/>
      <c r="CE60" s="64"/>
      <c r="CF60" s="61"/>
      <c r="CG60" s="63"/>
      <c r="CH60" s="61"/>
      <c r="CJ60" s="64"/>
      <c r="CK60" s="61"/>
      <c r="CL60" s="63"/>
      <c r="CM60" s="61"/>
    </row>
    <row r="61" spans="8:91" ht="12.75">
      <c r="H61" s="76">
        <f>N8</f>
        <v>0.007569444444444445</v>
      </c>
      <c r="N61" s="61"/>
      <c r="O61" s="63"/>
      <c r="P61" s="61"/>
      <c r="Q61" s="131"/>
      <c r="R61" s="134"/>
      <c r="S61" s="131"/>
      <c r="T61" s="133"/>
      <c r="U61" s="61"/>
      <c r="W61" s="64"/>
      <c r="X61" s="61"/>
      <c r="Y61" s="63"/>
      <c r="Z61" s="61"/>
      <c r="AB61" s="64"/>
      <c r="AC61" s="61"/>
      <c r="AD61" s="63"/>
      <c r="AE61" s="61"/>
      <c r="AG61" s="64"/>
      <c r="AH61" s="61"/>
      <c r="AI61" s="63"/>
      <c r="AJ61" s="61"/>
      <c r="AL61" s="64"/>
      <c r="AM61" s="61"/>
      <c r="AN61" s="63"/>
      <c r="AO61" s="61"/>
      <c r="AQ61" s="64"/>
      <c r="AR61" s="61"/>
      <c r="AS61" s="63"/>
      <c r="AT61" s="61"/>
      <c r="AV61" s="64"/>
      <c r="AW61" s="61"/>
      <c r="AX61" s="63"/>
      <c r="AY61" s="61"/>
      <c r="BA61" s="64"/>
      <c r="BB61" s="61"/>
      <c r="BC61" s="63"/>
      <c r="BD61" s="61"/>
      <c r="BF61" s="64"/>
      <c r="BG61" s="61"/>
      <c r="BH61" s="63"/>
      <c r="BI61" s="61"/>
      <c r="BK61" s="64"/>
      <c r="BL61" s="61"/>
      <c r="BM61" s="63"/>
      <c r="BN61" s="61"/>
      <c r="BP61" s="64"/>
      <c r="BQ61" s="61"/>
      <c r="BR61" s="63"/>
      <c r="BS61" s="61"/>
      <c r="BU61" s="64"/>
      <c r="BV61" s="61"/>
      <c r="BW61" s="63"/>
      <c r="BX61" s="61"/>
      <c r="BZ61" s="64"/>
      <c r="CA61" s="61"/>
      <c r="CB61" s="63"/>
      <c r="CC61" s="61"/>
      <c r="CE61" s="64"/>
      <c r="CF61" s="61"/>
      <c r="CG61" s="63"/>
      <c r="CH61" s="61"/>
      <c r="CJ61" s="64"/>
      <c r="CK61" s="61"/>
      <c r="CL61" s="63"/>
      <c r="CM61" s="61"/>
    </row>
    <row r="62" spans="14:91" ht="12.75">
      <c r="N62" s="61"/>
      <c r="O62" s="63"/>
      <c r="P62" s="61"/>
      <c r="Q62" s="131"/>
      <c r="R62" s="134"/>
      <c r="S62" s="131"/>
      <c r="T62" s="133"/>
      <c r="U62" s="61"/>
      <c r="W62" s="64"/>
      <c r="X62" s="61"/>
      <c r="Y62" s="63"/>
      <c r="Z62" s="61"/>
      <c r="AB62" s="64"/>
      <c r="AC62" s="61"/>
      <c r="AD62" s="63"/>
      <c r="AE62" s="61"/>
      <c r="AG62" s="64"/>
      <c r="AH62" s="61"/>
      <c r="AI62" s="63"/>
      <c r="AJ62" s="61"/>
      <c r="AL62" s="64"/>
      <c r="AM62" s="61"/>
      <c r="AN62" s="63"/>
      <c r="AO62" s="61"/>
      <c r="AQ62" s="64"/>
      <c r="AR62" s="61"/>
      <c r="AS62" s="63"/>
      <c r="AT62" s="61"/>
      <c r="AV62" s="64"/>
      <c r="AW62" s="61"/>
      <c r="AX62" s="63"/>
      <c r="AY62" s="61"/>
      <c r="BA62" s="64"/>
      <c r="BB62" s="61"/>
      <c r="BC62" s="63"/>
      <c r="BD62" s="61"/>
      <c r="BF62" s="64"/>
      <c r="BG62" s="61"/>
      <c r="BH62" s="63"/>
      <c r="BI62" s="61"/>
      <c r="BK62" s="64"/>
      <c r="BL62" s="61"/>
      <c r="BM62" s="63"/>
      <c r="BN62" s="61"/>
      <c r="BP62" s="64"/>
      <c r="BQ62" s="61"/>
      <c r="BR62" s="63"/>
      <c r="BS62" s="61"/>
      <c r="BU62" s="64"/>
      <c r="BV62" s="61"/>
      <c r="BW62" s="63"/>
      <c r="BX62" s="61"/>
      <c r="BZ62" s="64"/>
      <c r="CA62" s="61"/>
      <c r="CB62" s="63"/>
      <c r="CC62" s="61"/>
      <c r="CE62" s="64"/>
      <c r="CF62" s="61"/>
      <c r="CG62" s="63"/>
      <c r="CH62" s="61"/>
      <c r="CJ62" s="64"/>
      <c r="CK62" s="61"/>
      <c r="CL62" s="63"/>
      <c r="CM62" s="61"/>
    </row>
    <row r="63" spans="14:91" ht="12.75">
      <c r="N63" s="61"/>
      <c r="O63" s="63"/>
      <c r="P63" s="61"/>
      <c r="Q63" s="131"/>
      <c r="R63" s="134"/>
      <c r="S63" s="131"/>
      <c r="T63" s="133"/>
      <c r="U63" s="61"/>
      <c r="W63" s="64"/>
      <c r="X63" s="61"/>
      <c r="Y63" s="63"/>
      <c r="Z63" s="61"/>
      <c r="AB63" s="64"/>
      <c r="AC63" s="61"/>
      <c r="AD63" s="63"/>
      <c r="AE63" s="61"/>
      <c r="AG63" s="64"/>
      <c r="AH63" s="61"/>
      <c r="AI63" s="63"/>
      <c r="AJ63" s="61"/>
      <c r="AL63" s="64"/>
      <c r="AM63" s="61"/>
      <c r="AN63" s="63"/>
      <c r="AO63" s="61"/>
      <c r="AQ63" s="64"/>
      <c r="AR63" s="61"/>
      <c r="AS63" s="63"/>
      <c r="AT63" s="61"/>
      <c r="AV63" s="64"/>
      <c r="AW63" s="61"/>
      <c r="AX63" s="63"/>
      <c r="AY63" s="61"/>
      <c r="BA63" s="64"/>
      <c r="BB63" s="61"/>
      <c r="BC63" s="63"/>
      <c r="BD63" s="61"/>
      <c r="BF63" s="64"/>
      <c r="BG63" s="61"/>
      <c r="BH63" s="63"/>
      <c r="BI63" s="61"/>
      <c r="BK63" s="64"/>
      <c r="BL63" s="61"/>
      <c r="BM63" s="63"/>
      <c r="BN63" s="61"/>
      <c r="BP63" s="64"/>
      <c r="BQ63" s="61"/>
      <c r="BR63" s="63"/>
      <c r="BS63" s="61"/>
      <c r="BU63" s="64"/>
      <c r="BV63" s="61"/>
      <c r="BW63" s="63"/>
      <c r="BX63" s="61"/>
      <c r="BZ63" s="64"/>
      <c r="CA63" s="61"/>
      <c r="CB63" s="63"/>
      <c r="CC63" s="61"/>
      <c r="CE63" s="64"/>
      <c r="CF63" s="61"/>
      <c r="CG63" s="63"/>
      <c r="CH63" s="61"/>
      <c r="CJ63" s="64"/>
      <c r="CK63" s="61"/>
      <c r="CL63" s="63"/>
      <c r="CM63" s="61"/>
    </row>
    <row r="64" spans="14:91" ht="12.75">
      <c r="N64" s="61"/>
      <c r="O64" s="63"/>
      <c r="P64" s="61"/>
      <c r="Q64" s="131"/>
      <c r="R64" s="134"/>
      <c r="S64" s="131"/>
      <c r="T64" s="133"/>
      <c r="U64" s="61"/>
      <c r="W64" s="64"/>
      <c r="X64" s="61"/>
      <c r="Y64" s="63"/>
      <c r="Z64" s="61"/>
      <c r="AB64" s="64"/>
      <c r="AC64" s="61"/>
      <c r="AD64" s="63"/>
      <c r="AE64" s="61"/>
      <c r="AG64" s="64"/>
      <c r="AH64" s="61"/>
      <c r="AI64" s="63"/>
      <c r="AJ64" s="61"/>
      <c r="AL64" s="64"/>
      <c r="AM64" s="61"/>
      <c r="AN64" s="63"/>
      <c r="AO64" s="61"/>
      <c r="AQ64" s="64"/>
      <c r="AR64" s="61"/>
      <c r="AS64" s="63"/>
      <c r="AT64" s="61"/>
      <c r="AV64" s="64"/>
      <c r="AW64" s="61"/>
      <c r="AX64" s="63"/>
      <c r="AY64" s="61"/>
      <c r="BA64" s="64"/>
      <c r="BB64" s="61"/>
      <c r="BC64" s="63"/>
      <c r="BD64" s="61"/>
      <c r="BF64" s="64"/>
      <c r="BG64" s="61"/>
      <c r="BH64" s="63"/>
      <c r="BI64" s="61"/>
      <c r="BK64" s="64"/>
      <c r="BL64" s="61"/>
      <c r="BM64" s="63"/>
      <c r="BN64" s="61"/>
      <c r="BP64" s="64"/>
      <c r="BQ64" s="61"/>
      <c r="BR64" s="63"/>
      <c r="BS64" s="61"/>
      <c r="BU64" s="64"/>
      <c r="BV64" s="61"/>
      <c r="BW64" s="63"/>
      <c r="BX64" s="61"/>
      <c r="BZ64" s="64"/>
      <c r="CA64" s="61"/>
      <c r="CB64" s="63"/>
      <c r="CC64" s="61"/>
      <c r="CE64" s="64"/>
      <c r="CF64" s="61"/>
      <c r="CG64" s="63"/>
      <c r="CH64" s="61"/>
      <c r="CJ64" s="64"/>
      <c r="CK64" s="61"/>
      <c r="CL64" s="63"/>
      <c r="CM64" s="61"/>
    </row>
    <row r="65" spans="14:91" ht="12.75">
      <c r="N65" s="61"/>
      <c r="O65" s="63"/>
      <c r="P65" s="61"/>
      <c r="Q65" s="131"/>
      <c r="R65" s="134"/>
      <c r="S65" s="131"/>
      <c r="T65" s="133"/>
      <c r="U65" s="61"/>
      <c r="W65" s="64"/>
      <c r="X65" s="61"/>
      <c r="Y65" s="63"/>
      <c r="Z65" s="61"/>
      <c r="AB65" s="64"/>
      <c r="AC65" s="61"/>
      <c r="AD65" s="63"/>
      <c r="AE65" s="61"/>
      <c r="AG65" s="64"/>
      <c r="AH65" s="61"/>
      <c r="AI65" s="63"/>
      <c r="AJ65" s="61"/>
      <c r="AL65" s="64"/>
      <c r="AM65" s="61"/>
      <c r="AN65" s="63"/>
      <c r="AO65" s="61"/>
      <c r="AQ65" s="64"/>
      <c r="AR65" s="61"/>
      <c r="AS65" s="63"/>
      <c r="AT65" s="61"/>
      <c r="AV65" s="64"/>
      <c r="AW65" s="61"/>
      <c r="AX65" s="63"/>
      <c r="AY65" s="61"/>
      <c r="BA65" s="64"/>
      <c r="BB65" s="61"/>
      <c r="BC65" s="63"/>
      <c r="BD65" s="61"/>
      <c r="BF65" s="64"/>
      <c r="BG65" s="61"/>
      <c r="BH65" s="63"/>
      <c r="BI65" s="61"/>
      <c r="BK65" s="64"/>
      <c r="BL65" s="61"/>
      <c r="BM65" s="63"/>
      <c r="BN65" s="61"/>
      <c r="BP65" s="64"/>
      <c r="BQ65" s="61"/>
      <c r="BR65" s="63"/>
      <c r="BS65" s="61"/>
      <c r="BU65" s="64"/>
      <c r="BV65" s="61"/>
      <c r="BW65" s="63"/>
      <c r="BX65" s="61"/>
      <c r="BZ65" s="64"/>
      <c r="CA65" s="61"/>
      <c r="CB65" s="63"/>
      <c r="CC65" s="61"/>
      <c r="CE65" s="64"/>
      <c r="CF65" s="61"/>
      <c r="CG65" s="63"/>
      <c r="CH65" s="61"/>
      <c r="CJ65" s="64"/>
      <c r="CK65" s="61"/>
      <c r="CL65" s="63"/>
      <c r="CM65" s="61"/>
    </row>
    <row r="67" ht="12.75">
      <c r="H67" s="66" t="s">
        <v>66</v>
      </c>
    </row>
    <row r="68" ht="12.75">
      <c r="H68" s="76">
        <f>I12</f>
        <v>0.008206018518518519</v>
      </c>
    </row>
    <row r="69" ht="12.75">
      <c r="H69" s="76">
        <f>I13</f>
        <v>0.008275462962962962</v>
      </c>
    </row>
    <row r="70" ht="12.75">
      <c r="H70" s="76">
        <f>I14</f>
        <v>0.00875</v>
      </c>
    </row>
    <row r="71" ht="12.75">
      <c r="H71" s="76">
        <f>I15</f>
        <v>0.00832175925925926</v>
      </c>
    </row>
    <row r="72" ht="12.75">
      <c r="H72" s="76">
        <f>I16</f>
        <v>0.008657407407407407</v>
      </c>
    </row>
    <row r="73" ht="12.75">
      <c r="H73" s="76">
        <f>N12</f>
        <v>0.009351851851851853</v>
      </c>
    </row>
    <row r="74" ht="12.75">
      <c r="H74" s="76">
        <f>N13</f>
        <v>0.008796296296296297</v>
      </c>
    </row>
    <row r="75" ht="12.75">
      <c r="H75" s="76">
        <f>N14</f>
        <v>0.008553240740740741</v>
      </c>
    </row>
    <row r="76" ht="12.75">
      <c r="H76" s="76">
        <f>N15</f>
        <v>0.008553240740740741</v>
      </c>
    </row>
    <row r="77" ht="12.75">
      <c r="H77" s="76">
        <f>N16</f>
        <v>0.008125</v>
      </c>
    </row>
  </sheetData>
  <dataValidations count="5">
    <dataValidation type="list" allowBlank="1" showInputMessage="1" showErrorMessage="1" sqref="AQ12 AV4 AG12 AG4 H4 AV12 M12 AL4 M4 W12 W4 AQ4 AL12 H12 AB4 AB12">
      <formula1>$B$24:$E$24</formula1>
    </dataValidation>
    <dataValidation type="list" allowBlank="1" showInputMessage="1" showErrorMessage="1" sqref="AV13 AV5 AG13 AG5 AQ13 AL5 H5 M5 W5 W13 AB5 AQ5 AL13 M13 H13 AB13">
      <formula1>$B$25:$E$25</formula1>
    </dataValidation>
    <dataValidation type="list" allowBlank="1" showInputMessage="1" showErrorMessage="1" sqref="AV6 AL14 AG14 AG6 AV14 AL6 H6 M6 W14 AQ14 W6 AB6 M14 AQ6 H14 AB14">
      <formula1>$B$26:$E$26</formula1>
    </dataValidation>
    <dataValidation type="list" allowBlank="1" showInputMessage="1" showErrorMessage="1" sqref="AV7 AL15 AG15 AG7 AQ15 AL7 H7 M7 W7 W15 AV15 AB7 M15 AQ7 H15 AB15">
      <formula1>$B$27:$E$27</formula1>
    </dataValidation>
    <dataValidation type="list" allowBlank="1" showInputMessage="1" showErrorMessage="1" sqref="AV8 AL16 W16 M16 AG16 AV16 H16 AQ16 AQ8 AL8 AG8 AB8 W8 M8 H8 AB16">
      <formula1>$B$28:$E$28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15"/>
  <sheetViews>
    <sheetView showZeros="0" workbookViewId="0" topLeftCell="A1">
      <pane xSplit="1" topLeftCell="B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24.140625" style="36" customWidth="1"/>
    <col min="2" max="2" width="32.7109375" style="94" customWidth="1"/>
    <col min="3" max="3" width="6.7109375" style="36" customWidth="1"/>
    <col min="4" max="4" width="10.140625" style="36" bestFit="1" customWidth="1"/>
    <col min="5" max="5" width="15.7109375" style="94" customWidth="1"/>
    <col min="6" max="6" width="6.7109375" style="36" customWidth="1"/>
    <col min="7" max="7" width="10.140625" style="36" bestFit="1" customWidth="1"/>
    <col min="8" max="8" width="15.7109375" style="94" customWidth="1"/>
    <col min="9" max="9" width="6.7109375" style="36" customWidth="1"/>
    <col min="10" max="10" width="10.140625" style="36" bestFit="1" customWidth="1"/>
    <col min="11" max="11" width="15.7109375" style="94" customWidth="1"/>
    <col min="12" max="12" width="6.7109375" style="36" customWidth="1"/>
    <col min="13" max="13" width="10.140625" style="36" bestFit="1" customWidth="1"/>
    <col min="14" max="14" width="15.7109375" style="94" customWidth="1"/>
    <col min="15" max="15" width="6.7109375" style="36" customWidth="1"/>
    <col min="16" max="16" width="10.140625" style="36" bestFit="1" customWidth="1"/>
    <col min="17" max="17" width="15.7109375" style="94" customWidth="1"/>
    <col min="18" max="18" width="6.7109375" style="36" customWidth="1"/>
    <col min="19" max="19" width="10.140625" style="36" bestFit="1" customWidth="1"/>
    <col min="20" max="20" width="15.7109375" style="94" customWidth="1"/>
    <col min="21" max="21" width="6.7109375" style="36" customWidth="1"/>
    <col min="22" max="22" width="10.140625" style="36" bestFit="1" customWidth="1"/>
    <col min="23" max="23" width="32.7109375" style="94" customWidth="1"/>
    <col min="24" max="24" width="6.7109375" style="36" customWidth="1"/>
    <col min="25" max="25" width="10.140625" style="36" bestFit="1" customWidth="1"/>
    <col min="26" max="26" width="15.7109375" style="94" customWidth="1"/>
    <col min="27" max="27" width="6.7109375" style="36" customWidth="1"/>
    <col min="28" max="28" width="10.140625" style="36" bestFit="1" customWidth="1"/>
    <col min="29" max="29" width="15.7109375" style="94" customWidth="1"/>
    <col min="30" max="30" width="6.7109375" style="36" customWidth="1"/>
    <col min="31" max="31" width="10.140625" style="36" bestFit="1" customWidth="1"/>
    <col min="32" max="32" width="15.7109375" style="94" customWidth="1"/>
    <col min="33" max="33" width="6.7109375" style="36" customWidth="1"/>
    <col min="34" max="34" width="10.140625" style="36" bestFit="1" customWidth="1"/>
    <col min="35" max="35" width="15.7109375" style="94" customWidth="1"/>
    <col min="36" max="36" width="6.7109375" style="36" customWidth="1"/>
    <col min="37" max="37" width="10.140625" style="36" bestFit="1" customWidth="1"/>
    <col min="38" max="38" width="15.7109375" style="94" customWidth="1"/>
    <col min="39" max="39" width="6.7109375" style="36" customWidth="1"/>
    <col min="40" max="40" width="10.140625" style="36" bestFit="1" customWidth="1"/>
    <col min="41" max="41" width="15.7109375" style="94" customWidth="1"/>
    <col min="42" max="42" width="6.7109375" style="36" customWidth="1"/>
    <col min="43" max="43" width="10.140625" style="36" bestFit="1" customWidth="1"/>
    <col min="44" max="44" width="52.140625" style="111" customWidth="1"/>
    <col min="45" max="45" width="16.00390625" style="111" customWidth="1"/>
    <col min="46" max="59" width="9.140625" style="111" customWidth="1"/>
    <col min="60" max="16384" width="9.140625" style="36" customWidth="1"/>
  </cols>
  <sheetData>
    <row r="2" spans="2:43" ht="12.75">
      <c r="B2" s="102" t="s">
        <v>5</v>
      </c>
      <c r="C2" s="103"/>
      <c r="D2" s="104"/>
      <c r="E2" s="102" t="s">
        <v>12</v>
      </c>
      <c r="F2" s="103"/>
      <c r="G2" s="104"/>
      <c r="H2" s="102" t="s">
        <v>13</v>
      </c>
      <c r="I2" s="103"/>
      <c r="J2" s="104"/>
      <c r="K2" s="102" t="s">
        <v>14</v>
      </c>
      <c r="L2" s="103"/>
      <c r="M2" s="104"/>
      <c r="N2" s="102" t="s">
        <v>15</v>
      </c>
      <c r="O2" s="103"/>
      <c r="P2" s="104"/>
      <c r="Q2" s="102" t="s">
        <v>16</v>
      </c>
      <c r="R2" s="103"/>
      <c r="S2" s="104"/>
      <c r="T2" s="102" t="s">
        <v>17</v>
      </c>
      <c r="U2" s="103"/>
      <c r="V2" s="104"/>
      <c r="W2" s="102" t="s">
        <v>18</v>
      </c>
      <c r="X2" s="103"/>
      <c r="Y2" s="104"/>
      <c r="Z2" s="102" t="s">
        <v>21</v>
      </c>
      <c r="AA2" s="103"/>
      <c r="AB2" s="104"/>
      <c r="AC2" s="102" t="s">
        <v>22</v>
      </c>
      <c r="AD2" s="103"/>
      <c r="AE2" s="104"/>
      <c r="AF2" s="102" t="s">
        <v>23</v>
      </c>
      <c r="AG2" s="103"/>
      <c r="AH2" s="104"/>
      <c r="AI2" s="102" t="s">
        <v>24</v>
      </c>
      <c r="AJ2" s="103"/>
      <c r="AK2" s="104"/>
      <c r="AL2" s="102" t="s">
        <v>25</v>
      </c>
      <c r="AM2" s="103"/>
      <c r="AN2" s="104"/>
      <c r="AO2" s="102" t="s">
        <v>26</v>
      </c>
      <c r="AP2" s="103"/>
      <c r="AQ2" s="104"/>
    </row>
    <row r="3" spans="1:59" s="38" customFormat="1" ht="19.5" customHeight="1">
      <c r="A3" s="95" t="s">
        <v>0</v>
      </c>
      <c r="B3" s="96" t="s">
        <v>6</v>
      </c>
      <c r="C3" s="97" t="s">
        <v>7</v>
      </c>
      <c r="D3" s="98" t="s">
        <v>41</v>
      </c>
      <c r="E3" s="99" t="s">
        <v>6</v>
      </c>
      <c r="F3" s="100" t="s">
        <v>7</v>
      </c>
      <c r="G3" s="101" t="s">
        <v>41</v>
      </c>
      <c r="H3" s="99" t="s">
        <v>6</v>
      </c>
      <c r="I3" s="100" t="s">
        <v>7</v>
      </c>
      <c r="J3" s="101" t="s">
        <v>41</v>
      </c>
      <c r="K3" s="99" t="s">
        <v>6</v>
      </c>
      <c r="L3" s="100" t="s">
        <v>7</v>
      </c>
      <c r="M3" s="101" t="s">
        <v>41</v>
      </c>
      <c r="N3" s="99" t="s">
        <v>6</v>
      </c>
      <c r="O3" s="100" t="s">
        <v>7</v>
      </c>
      <c r="P3" s="101" t="s">
        <v>41</v>
      </c>
      <c r="Q3" s="99" t="s">
        <v>6</v>
      </c>
      <c r="R3" s="100" t="s">
        <v>7</v>
      </c>
      <c r="S3" s="101" t="s">
        <v>41</v>
      </c>
      <c r="T3" s="99" t="s">
        <v>6</v>
      </c>
      <c r="U3" s="100" t="s">
        <v>7</v>
      </c>
      <c r="V3" s="101" t="s">
        <v>41</v>
      </c>
      <c r="W3" s="99" t="s">
        <v>6</v>
      </c>
      <c r="X3" s="100" t="s">
        <v>7</v>
      </c>
      <c r="Y3" s="101" t="s">
        <v>41</v>
      </c>
      <c r="Z3" s="99" t="s">
        <v>6</v>
      </c>
      <c r="AA3" s="100" t="s">
        <v>7</v>
      </c>
      <c r="AB3" s="101" t="s">
        <v>41</v>
      </c>
      <c r="AC3" s="99" t="s">
        <v>6</v>
      </c>
      <c r="AD3" s="100" t="s">
        <v>7</v>
      </c>
      <c r="AE3" s="101" t="s">
        <v>41</v>
      </c>
      <c r="AF3" s="99" t="s">
        <v>6</v>
      </c>
      <c r="AG3" s="100" t="s">
        <v>7</v>
      </c>
      <c r="AH3" s="101" t="s">
        <v>41</v>
      </c>
      <c r="AI3" s="99" t="s">
        <v>6</v>
      </c>
      <c r="AJ3" s="100" t="s">
        <v>7</v>
      </c>
      <c r="AK3" s="101" t="s">
        <v>41</v>
      </c>
      <c r="AL3" s="99" t="s">
        <v>6</v>
      </c>
      <c r="AM3" s="100" t="s">
        <v>7</v>
      </c>
      <c r="AN3" s="101" t="s">
        <v>41</v>
      </c>
      <c r="AO3" s="99" t="s">
        <v>6</v>
      </c>
      <c r="AP3" s="100" t="s">
        <v>7</v>
      </c>
      <c r="AQ3" s="101" t="s">
        <v>41</v>
      </c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</row>
    <row r="4" spans="1:59" s="38" customFormat="1" ht="19.5" customHeight="1">
      <c r="A4" s="90" t="str">
        <f>'Team Selection'!B3</f>
        <v>House of Horrors</v>
      </c>
      <c r="B4" s="91" t="str">
        <f>'Stage  Entry'!R4</f>
        <v>Stephen Paine &amp; Paul Marsh</v>
      </c>
      <c r="C4" s="92">
        <f>'Stage  Entry'!S4</f>
        <v>0.014907407407407407</v>
      </c>
      <c r="D4" s="93">
        <f>C4</f>
        <v>0.014907407407407407</v>
      </c>
      <c r="E4" s="91" t="str">
        <f>'Stage  Entry'!W4</f>
        <v>Jim Grelis</v>
      </c>
      <c r="F4" s="92">
        <f>'Stage  Entry'!X4</f>
        <v>0.01076388888888889</v>
      </c>
      <c r="G4" s="93">
        <f>D4+F4</f>
        <v>0.025671296296296296</v>
      </c>
      <c r="H4" s="91" t="str">
        <f>'Stage  Entry'!AB4</f>
        <v>Glenn Goodman</v>
      </c>
      <c r="I4" s="92">
        <f>'Stage  Entry'!AC4</f>
        <v>0.011273148148148148</v>
      </c>
      <c r="J4" s="93">
        <f>G4+I4</f>
        <v>0.036944444444444446</v>
      </c>
      <c r="K4" s="91" t="str">
        <f>'Stage  Entry'!AG4</f>
        <v>Paul Marsh</v>
      </c>
      <c r="L4" s="92">
        <f>'Stage  Entry'!AH4</f>
        <v>0.011157407407407408</v>
      </c>
      <c r="M4" s="93">
        <f>J4+L4</f>
        <v>0.048101851851851854</v>
      </c>
      <c r="N4" s="91" t="str">
        <f>'Stage  Entry'!AL4</f>
        <v>Stephen Paine</v>
      </c>
      <c r="O4" s="92">
        <f>'Stage  Entry'!AM4</f>
        <v>0.010185185185185184</v>
      </c>
      <c r="P4" s="93">
        <f>M4+O4</f>
        <v>0.05828703703703704</v>
      </c>
      <c r="Q4" s="91" t="str">
        <f>'Stage  Entry'!AQ4</f>
        <v>Jim Grelis</v>
      </c>
      <c r="R4" s="92">
        <f>'Stage  Entry'!AR4</f>
        <v>0.009849537037037037</v>
      </c>
      <c r="S4" s="93">
        <f>P4+R4</f>
        <v>0.06813657407407407</v>
      </c>
      <c r="T4" s="91" t="str">
        <f>'Stage  Entry'!AV4</f>
        <v>Glenn Goodman</v>
      </c>
      <c r="U4" s="92">
        <f>'Stage  Entry'!AW4</f>
        <v>0.009745370370370371</v>
      </c>
      <c r="V4" s="93">
        <f>S4+U4</f>
        <v>0.07788194444444445</v>
      </c>
      <c r="W4" s="91" t="str">
        <f>'Stage  Entry'!R12</f>
        <v>Glenn Goodman &amp; Jim Grelis</v>
      </c>
      <c r="X4" s="92">
        <f>'Stage  Entry'!S12</f>
        <v>0.01755787037037037</v>
      </c>
      <c r="Y4" s="93">
        <f>V4+X4</f>
        <v>0.09543981481481481</v>
      </c>
      <c r="Z4" s="91" t="str">
        <f>'Stage  Entry'!W12</f>
        <v>Stephen Paine</v>
      </c>
      <c r="AA4" s="92">
        <f>'Stage  Entry'!X12</f>
        <v>0.00954861111111111</v>
      </c>
      <c r="AB4" s="93">
        <f>Y4+AA4</f>
        <v>0.10498842592592592</v>
      </c>
      <c r="AC4" s="91" t="str">
        <f>'Stage  Entry'!AB12</f>
        <v>Paul Marsh</v>
      </c>
      <c r="AD4" s="92">
        <f>'Stage  Entry'!AC12</f>
        <v>0.011574074074074075</v>
      </c>
      <c r="AE4" s="93">
        <f>AB4+AD4</f>
        <v>0.11656249999999999</v>
      </c>
      <c r="AF4" s="91" t="str">
        <f>'Stage  Entry'!AG12</f>
        <v>Glenn Goodman</v>
      </c>
      <c r="AG4" s="92">
        <f>'Stage  Entry'!AH12</f>
        <v>0.010381944444444444</v>
      </c>
      <c r="AH4" s="93">
        <f>AE4+AG4</f>
        <v>0.12694444444444442</v>
      </c>
      <c r="AI4" s="91" t="str">
        <f>'Stage  Entry'!AL12</f>
        <v>Stephen Paine</v>
      </c>
      <c r="AJ4" s="92">
        <f>'Stage  Entry'!AM12</f>
        <v>0.009768518518518518</v>
      </c>
      <c r="AK4" s="93">
        <f>AH4+AJ4</f>
        <v>0.13671296296296293</v>
      </c>
      <c r="AL4" s="91" t="str">
        <f>'Stage  Entry'!AQ12</f>
        <v>Paul Marsh</v>
      </c>
      <c r="AM4" s="92">
        <f>'Stage  Entry'!AR12</f>
        <v>0.012233796296296296</v>
      </c>
      <c r="AN4" s="93">
        <f>AK4+AM4</f>
        <v>0.1489467592592592</v>
      </c>
      <c r="AO4" s="91" t="str">
        <f>'Stage  Entry'!AV12</f>
        <v>Jim Grelis</v>
      </c>
      <c r="AP4" s="92">
        <f>'Stage  Entry'!AW12</f>
        <v>0.010208333333333333</v>
      </c>
      <c r="AQ4" s="93">
        <f>AN4+AP4</f>
        <v>0.15915509259259253</v>
      </c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</row>
    <row r="5" spans="1:59" s="38" customFormat="1" ht="19.5" customHeight="1">
      <c r="A5" s="90" t="str">
        <f>'Team Selection'!B4</f>
        <v>Bevo's Bombers</v>
      </c>
      <c r="B5" s="91" t="str">
        <f>'Stage  Entry'!R5</f>
        <v>Simon Bevage &amp; Matt Sandilands</v>
      </c>
      <c r="C5" s="92">
        <f>'Stage  Entry'!S5</f>
        <v>0.015277777777777779</v>
      </c>
      <c r="D5" s="93">
        <f>C5</f>
        <v>0.015277777777777779</v>
      </c>
      <c r="E5" s="91" t="str">
        <f>'Stage  Entry'!W5</f>
        <v>Col Marson</v>
      </c>
      <c r="F5" s="92">
        <f>'Stage  Entry'!X5</f>
        <v>0.010231481481481482</v>
      </c>
      <c r="G5" s="93">
        <f>D5+F5</f>
        <v>0.02550925925925926</v>
      </c>
      <c r="H5" s="91" t="str">
        <f>'Stage  Entry'!AB5</f>
        <v>Craig Harris</v>
      </c>
      <c r="I5" s="92">
        <f>'Stage  Entry'!AC5</f>
        <v>0.011006944444444444</v>
      </c>
      <c r="J5" s="93">
        <f>G5+I5</f>
        <v>0.036516203703703703</v>
      </c>
      <c r="K5" s="91" t="str">
        <f>'Stage  Entry'!AG5</f>
        <v>Simon Bevage</v>
      </c>
      <c r="L5" s="92">
        <f>'Stage  Entry'!AH5</f>
        <v>0.01</v>
      </c>
      <c r="M5" s="93">
        <f>J5+L5</f>
        <v>0.046516203703703705</v>
      </c>
      <c r="N5" s="91" t="str">
        <f>'Stage  Entry'!AL5</f>
        <v>Matt Sandilands</v>
      </c>
      <c r="O5" s="92">
        <f>'Stage  Entry'!AM5</f>
        <v>0.011539351851851851</v>
      </c>
      <c r="P5" s="93">
        <f>M5+O5</f>
        <v>0.058055555555555555</v>
      </c>
      <c r="Q5" s="91" t="str">
        <f>'Stage  Entry'!AQ5</f>
        <v>Col Marson</v>
      </c>
      <c r="R5" s="92">
        <f>'Stage  Entry'!AR5</f>
        <v>0.009212962962962963</v>
      </c>
      <c r="S5" s="93">
        <f>P5+R5</f>
        <v>0.06726851851851852</v>
      </c>
      <c r="T5" s="91" t="str">
        <f>'Stage  Entry'!AV5</f>
        <v>Craig Harris</v>
      </c>
      <c r="U5" s="92">
        <f>'Stage  Entry'!AW5</f>
        <v>0.00962962962962963</v>
      </c>
      <c r="V5" s="93">
        <f>S5+U5</f>
        <v>0.07689814814814815</v>
      </c>
      <c r="W5" s="91" t="str">
        <f>'Stage  Entry'!R13</f>
        <v>Craig Harris &amp; Col Marson</v>
      </c>
      <c r="X5" s="92">
        <f>'Stage  Entry'!S13</f>
        <v>0.01707175925925926</v>
      </c>
      <c r="Y5" s="93">
        <f>V5+X5</f>
        <v>0.0939699074074074</v>
      </c>
      <c r="Z5" s="91" t="str">
        <f>'Stage  Entry'!W13</f>
        <v>Simon Bevage</v>
      </c>
      <c r="AA5" s="92">
        <f>'Stage  Entry'!X13</f>
        <v>0.00980324074074074</v>
      </c>
      <c r="AB5" s="93">
        <f>Y5+AA5</f>
        <v>0.10377314814814814</v>
      </c>
      <c r="AC5" s="91" t="str">
        <f>'Stage  Entry'!AB13</f>
        <v>Matt Sandilands</v>
      </c>
      <c r="AD5" s="92">
        <f>'Stage  Entry'!AC13</f>
        <v>0.011967592592592592</v>
      </c>
      <c r="AE5" s="93">
        <f>AB5+AD5</f>
        <v>0.11574074074074073</v>
      </c>
      <c r="AF5" s="91" t="str">
        <f>'Stage  Entry'!AG13</f>
        <v>Craig Harris</v>
      </c>
      <c r="AG5" s="92">
        <f>'Stage  Entry'!AH13</f>
        <v>0.010138888888888888</v>
      </c>
      <c r="AH5" s="93">
        <f>AE5+AG5</f>
        <v>0.12587962962962962</v>
      </c>
      <c r="AI5" s="91" t="str">
        <f>'Stage  Entry'!AL13</f>
        <v>Col Marson</v>
      </c>
      <c r="AJ5" s="92">
        <f>'Stage  Entry'!AM13</f>
        <v>0.012847222222222223</v>
      </c>
      <c r="AK5" s="93">
        <f>AH5+AJ5</f>
        <v>0.13872685185185185</v>
      </c>
      <c r="AL5" s="91" t="str">
        <f>'Stage  Entry'!AQ13</f>
        <v>Simon Bevage</v>
      </c>
      <c r="AM5" s="92">
        <f>'Stage  Entry'!AR13</f>
        <v>0.010416666666666666</v>
      </c>
      <c r="AN5" s="93">
        <f>AK5+AM5</f>
        <v>0.1491435185185185</v>
      </c>
      <c r="AO5" s="91" t="str">
        <f>'Stage  Entry'!AV13</f>
        <v>Matt Sandilands</v>
      </c>
      <c r="AP5" s="92">
        <f>'Stage  Entry'!AW13</f>
        <v>0.008877314814814815</v>
      </c>
      <c r="AQ5" s="93">
        <f>AN5+AP5</f>
        <v>0.15802083333333333</v>
      </c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</row>
    <row r="6" spans="1:59" s="38" customFormat="1" ht="19.5" customHeight="1">
      <c r="A6" s="90" t="str">
        <f>'Team Selection'!B5</f>
        <v>Smoothy's Debacle</v>
      </c>
      <c r="B6" s="91" t="str">
        <f>'Stage  Entry'!R6</f>
        <v>David Venour &amp; Patrick O'Keefe</v>
      </c>
      <c r="C6" s="92">
        <f>'Stage  Entry'!S6</f>
        <v>0.014363425925925925</v>
      </c>
      <c r="D6" s="93">
        <f>C6</f>
        <v>0.014363425925925925</v>
      </c>
      <c r="E6" s="91" t="str">
        <f>'Stage  Entry'!W6</f>
        <v>Luke Goodman</v>
      </c>
      <c r="F6" s="92">
        <f>'Stage  Entry'!X6</f>
        <v>0.010150462962962964</v>
      </c>
      <c r="G6" s="93">
        <f>D6+F6</f>
        <v>0.02451388888888889</v>
      </c>
      <c r="H6" s="91" t="str">
        <f>'Stage  Entry'!AB6</f>
        <v>Gary O'Dwyer</v>
      </c>
      <c r="I6" s="92">
        <f>'Stage  Entry'!AC6</f>
        <v>0.011423611111111112</v>
      </c>
      <c r="J6" s="93">
        <f>G6+I6</f>
        <v>0.035937500000000004</v>
      </c>
      <c r="K6" s="91" t="str">
        <f>'Stage  Entry'!AG6</f>
        <v>Patrick O'Keefe</v>
      </c>
      <c r="L6" s="92">
        <f>'Stage  Entry'!AH6</f>
        <v>0.010081018518518519</v>
      </c>
      <c r="M6" s="93">
        <f>J6+L6</f>
        <v>0.04601851851851852</v>
      </c>
      <c r="N6" s="91" t="str">
        <f>'Stage  Entry'!AL6</f>
        <v>David Venour</v>
      </c>
      <c r="O6" s="92">
        <f>'Stage  Entry'!AM6</f>
        <v>0.010555555555555554</v>
      </c>
      <c r="P6" s="93">
        <f>M6+O6</f>
        <v>0.056574074074074075</v>
      </c>
      <c r="Q6" s="91" t="str">
        <f>'Stage  Entry'!AQ6</f>
        <v>Luke Goodman</v>
      </c>
      <c r="R6" s="92">
        <f>'Stage  Entry'!AR6</f>
        <v>0.009236111111111112</v>
      </c>
      <c r="S6" s="93">
        <f>P6+R6</f>
        <v>0.0658101851851852</v>
      </c>
      <c r="T6" s="91" t="str">
        <f>'Stage  Entry'!AV6</f>
        <v>Gary O'Dwyer</v>
      </c>
      <c r="U6" s="92">
        <f>'Stage  Entry'!AW6</f>
        <v>0.009791666666666666</v>
      </c>
      <c r="V6" s="93">
        <f>S6+U6</f>
        <v>0.07560185185185186</v>
      </c>
      <c r="W6" s="91" t="str">
        <f>'Stage  Entry'!R14</f>
        <v>Gary O'Dwyer &amp; Luke Goodman</v>
      </c>
      <c r="X6" s="92">
        <f>'Stage  Entry'!S14</f>
        <v>0.017303240740740744</v>
      </c>
      <c r="Y6" s="93">
        <f>V6+X6</f>
        <v>0.09290509259259261</v>
      </c>
      <c r="Z6" s="91" t="str">
        <f>'Stage  Entry'!W14</f>
        <v>Patrick O'Keefe</v>
      </c>
      <c r="AA6" s="92">
        <f>'Stage  Entry'!X14</f>
        <v>0.010011574074074074</v>
      </c>
      <c r="AB6" s="93">
        <f>Y6+AA6</f>
        <v>0.10291666666666668</v>
      </c>
      <c r="AC6" s="91" t="str">
        <f>'Stage  Entry'!AB14</f>
        <v>David Venour</v>
      </c>
      <c r="AD6" s="92">
        <f>'Stage  Entry'!AC14</f>
        <v>0.010243055555555556</v>
      </c>
      <c r="AE6" s="93">
        <f>AB6+AD6</f>
        <v>0.11315972222222224</v>
      </c>
      <c r="AF6" s="91" t="str">
        <f>'Stage  Entry'!AG14</f>
        <v>Gary O'Dwyer</v>
      </c>
      <c r="AG6" s="92">
        <f>'Stage  Entry'!AH14</f>
        <v>0.010289351851851852</v>
      </c>
      <c r="AH6" s="93">
        <f>AE6+AG6</f>
        <v>0.1234490740740741</v>
      </c>
      <c r="AI6" s="91" t="str">
        <f>'Stage  Entry'!AL14</f>
        <v>Patrick O'Keefe</v>
      </c>
      <c r="AJ6" s="92">
        <f>'Stage  Entry'!AM14</f>
        <v>0.010659722222222221</v>
      </c>
      <c r="AK6" s="93">
        <f>AH6+AJ6</f>
        <v>0.13410879629629632</v>
      </c>
      <c r="AL6" s="91" t="str">
        <f>'Stage  Entry'!AQ14</f>
        <v>David Venour</v>
      </c>
      <c r="AM6" s="92">
        <f>'Stage  Entry'!AR14</f>
        <v>0.010636574074074074</v>
      </c>
      <c r="AN6" s="93">
        <f>AK6+AM6</f>
        <v>0.14474537037037039</v>
      </c>
      <c r="AO6" s="91" t="str">
        <f>'Stage  Entry'!AV14</f>
        <v>Luke Goodman</v>
      </c>
      <c r="AP6" s="92">
        <f>'Stage  Entry'!AW14</f>
        <v>0.00954861111111111</v>
      </c>
      <c r="AQ6" s="93">
        <f>AN6+AP6</f>
        <v>0.1542939814814815</v>
      </c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1:59" s="38" customFormat="1" ht="19.5" customHeight="1">
      <c r="A7" s="90" t="str">
        <f>'Team Selection'!B6</f>
        <v>International Rules</v>
      </c>
      <c r="B7" s="91" t="str">
        <f>'Stage  Entry'!R7</f>
        <v>Anthony Lee &amp; Troy Williams</v>
      </c>
      <c r="C7" s="92">
        <f>'Stage  Entry'!S7</f>
        <v>0.014756944444444444</v>
      </c>
      <c r="D7" s="93">
        <f>C7</f>
        <v>0.014756944444444444</v>
      </c>
      <c r="E7" s="91" t="str">
        <f>'Stage  Entry'!W7</f>
        <v>Luke Grima</v>
      </c>
      <c r="F7" s="92">
        <f>'Stage  Entry'!X7</f>
        <v>0.01019675925925926</v>
      </c>
      <c r="G7" s="93">
        <f>D7+F7</f>
        <v>0.024953703703703704</v>
      </c>
      <c r="H7" s="91" t="str">
        <f>'Stage  Entry'!AB7</f>
        <v>Sean McGaughey</v>
      </c>
      <c r="I7" s="92">
        <f>'Stage  Entry'!AC7</f>
        <v>0.011296296296296296</v>
      </c>
      <c r="J7" s="93">
        <f>G7+I7</f>
        <v>0.03625</v>
      </c>
      <c r="K7" s="91" t="str">
        <f>'Stage  Entry'!AG7</f>
        <v>Anthony Lee</v>
      </c>
      <c r="L7" s="92">
        <f>'Stage  Entry'!AH7</f>
        <v>0.010462962962962964</v>
      </c>
      <c r="M7" s="93">
        <f>J7+L7</f>
        <v>0.04671296296296296</v>
      </c>
      <c r="N7" s="91" t="str">
        <f>'Stage  Entry'!AL7</f>
        <v>Troy Williams</v>
      </c>
      <c r="O7" s="92">
        <f>'Stage  Entry'!AM7</f>
        <v>0.010162037037037037</v>
      </c>
      <c r="P7" s="93">
        <f>M7+O7</f>
        <v>0.056875</v>
      </c>
      <c r="Q7" s="91" t="str">
        <f>'Stage  Entry'!AQ7</f>
        <v>Luke Grima</v>
      </c>
      <c r="R7" s="92">
        <f>'Stage  Entry'!AR7</f>
        <v>0.00863425925925926</v>
      </c>
      <c r="S7" s="93">
        <f>P7+R7</f>
        <v>0.06550925925925927</v>
      </c>
      <c r="T7" s="91" t="str">
        <f>'Stage  Entry'!AV7</f>
        <v>Sean McGaughey</v>
      </c>
      <c r="U7" s="92">
        <f>'Stage  Entry'!AW7</f>
        <v>0.010439814814814813</v>
      </c>
      <c r="V7" s="93">
        <f>S7+U7</f>
        <v>0.07594907407407409</v>
      </c>
      <c r="W7" s="91" t="str">
        <f>'Stage  Entry'!R15</f>
        <v>Luke Grima &amp; Sean McGaughey</v>
      </c>
      <c r="X7" s="92">
        <f>'Stage  Entry'!S15</f>
        <v>0.016875</v>
      </c>
      <c r="Y7" s="93">
        <f>V7+X7</f>
        <v>0.09282407407407409</v>
      </c>
      <c r="Z7" s="91" t="str">
        <f>'Stage  Entry'!W15</f>
        <v>Anthony Lee</v>
      </c>
      <c r="AA7" s="92">
        <f>'Stage  Entry'!X15</f>
        <v>0.01017361111111111</v>
      </c>
      <c r="AB7" s="93">
        <f>Y7+AA7</f>
        <v>0.10299768518518519</v>
      </c>
      <c r="AC7" s="91" t="str">
        <f>'Stage  Entry'!AB15</f>
        <v>Troy Williams</v>
      </c>
      <c r="AD7" s="92">
        <f>'Stage  Entry'!AC15</f>
        <v>0.01005787037037037</v>
      </c>
      <c r="AE7" s="93">
        <f>AB7+AD7</f>
        <v>0.11305555555555556</v>
      </c>
      <c r="AF7" s="91" t="str">
        <f>'Stage  Entry'!AG15</f>
        <v>Luke Grima</v>
      </c>
      <c r="AG7" s="92">
        <f>'Stage  Entry'!AH15</f>
        <v>0.010219907407407408</v>
      </c>
      <c r="AH7" s="93">
        <f>AE7+AG7</f>
        <v>0.12327546296296298</v>
      </c>
      <c r="AI7" s="91" t="str">
        <f>'Stage  Entry'!AL15</f>
        <v>Anthony Lee</v>
      </c>
      <c r="AJ7" s="92">
        <f>'Stage  Entry'!AM15</f>
        <v>0.010601851851851854</v>
      </c>
      <c r="AK7" s="93">
        <f>AH7+AJ7</f>
        <v>0.13387731481481482</v>
      </c>
      <c r="AL7" s="91" t="str">
        <f>'Stage  Entry'!AQ15</f>
        <v>Troy Williams</v>
      </c>
      <c r="AM7" s="92">
        <f>'Stage  Entry'!AR15</f>
        <v>0.010335648148148148</v>
      </c>
      <c r="AN7" s="93">
        <f>AK7+AM7</f>
        <v>0.14421296296296296</v>
      </c>
      <c r="AO7" s="91" t="str">
        <f>'Stage  Entry'!AV15</f>
        <v>Sean McGaughey</v>
      </c>
      <c r="AP7" s="92">
        <f>'Stage  Entry'!AW15</f>
        <v>0.009930555555555555</v>
      </c>
      <c r="AQ7" s="93">
        <f>AN7+AP7</f>
        <v>0.1541435185185185</v>
      </c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</row>
    <row r="8" spans="1:59" s="38" customFormat="1" ht="19.5" customHeight="1">
      <c r="A8" s="90" t="str">
        <f>'Team Selection'!B7</f>
        <v>Forty Odd Foot of Grunt</v>
      </c>
      <c r="B8" s="91" t="str">
        <f>'Stage  Entry'!R8</f>
        <v>Anthony Weiland &amp; Anthony Mithen</v>
      </c>
      <c r="C8" s="92">
        <f>'Stage  Entry'!S8</f>
        <v>0.015185185185185187</v>
      </c>
      <c r="D8" s="93">
        <f>C8</f>
        <v>0.015185185185185187</v>
      </c>
      <c r="E8" s="91" t="str">
        <f>'Stage  Entry'!W8</f>
        <v>Mike Bialczak</v>
      </c>
      <c r="F8" s="92">
        <f>'Stage  Entry'!X8</f>
        <v>0.009814814814814814</v>
      </c>
      <c r="G8" s="93">
        <f>D8+F8</f>
        <v>0.025</v>
      </c>
      <c r="H8" s="91" t="str">
        <f>'Stage  Entry'!AB8</f>
        <v>Chris Osborne</v>
      </c>
      <c r="I8" s="92">
        <f>'Stage  Entry'!AC8</f>
        <v>0.011620370370370371</v>
      </c>
      <c r="J8" s="93">
        <f>G8+I8</f>
        <v>0.03662037037037037</v>
      </c>
      <c r="K8" s="91" t="str">
        <f>'Stage  Entry'!AG8</f>
        <v>Anthony Mithen</v>
      </c>
      <c r="L8" s="92">
        <f>'Stage  Entry'!AH8</f>
        <v>0.010393518518518519</v>
      </c>
      <c r="M8" s="93">
        <f>J8+L8</f>
        <v>0.04701388888888889</v>
      </c>
      <c r="N8" s="91" t="str">
        <f>'Stage  Entry'!AL8</f>
        <v>Anthony Weiland</v>
      </c>
      <c r="O8" s="92">
        <f>'Stage  Entry'!AM8</f>
        <v>0.010983796296296297</v>
      </c>
      <c r="P8" s="93">
        <f>M8+O8</f>
        <v>0.05799768518518519</v>
      </c>
      <c r="Q8" s="91" t="str">
        <f>'Stage  Entry'!AQ8</f>
        <v>Mike Bialczak</v>
      </c>
      <c r="R8" s="92">
        <f>'Stage  Entry'!AR8</f>
        <v>0.008344907407407409</v>
      </c>
      <c r="S8" s="93">
        <f>P8+R8</f>
        <v>0.06634259259259259</v>
      </c>
      <c r="T8" s="91" t="str">
        <f>'Stage  Entry'!AV8</f>
        <v>Chris Osborne</v>
      </c>
      <c r="U8" s="92">
        <f>'Stage  Entry'!AW8</f>
        <v>0.010335648148148148</v>
      </c>
      <c r="V8" s="93">
        <f>S8+U8</f>
        <v>0.07667824074074074</v>
      </c>
      <c r="W8" s="91" t="str">
        <f>'Stage  Entry'!R16</f>
        <v>Chris Osborne &amp; Mike Bialczak</v>
      </c>
      <c r="X8" s="92">
        <f>'Stage  Entry'!S16</f>
        <v>0.016782407407407406</v>
      </c>
      <c r="Y8" s="93">
        <f>V8+X8</f>
        <v>0.09346064814814814</v>
      </c>
      <c r="Z8" s="91" t="str">
        <f>'Stage  Entry'!W16</f>
        <v>Anthony Mithen</v>
      </c>
      <c r="AA8" s="92">
        <f>'Stage  Entry'!X16</f>
        <v>0.010949074074074075</v>
      </c>
      <c r="AB8" s="93">
        <f>Y8+AA8</f>
        <v>0.10440972222222221</v>
      </c>
      <c r="AC8" s="91" t="str">
        <f>'Stage  Entry'!AB16</f>
        <v>Anthony Weiland</v>
      </c>
      <c r="AD8" s="92">
        <f>'Stage  Entry'!AC16</f>
        <v>0.010868055555555556</v>
      </c>
      <c r="AE8" s="93">
        <f>AB8+AD8</f>
        <v>0.11527777777777777</v>
      </c>
      <c r="AF8" s="91" t="str">
        <f>'Stage  Entry'!AG16</f>
        <v>Chris Osborne</v>
      </c>
      <c r="AG8" s="92">
        <f>'Stage  Entry'!AH16</f>
        <v>0.010949074074074075</v>
      </c>
      <c r="AH8" s="93">
        <f>AE8+AG8</f>
        <v>0.12622685185185184</v>
      </c>
      <c r="AI8" s="91" t="str">
        <f>'Stage  Entry'!AL16</f>
        <v>Anthony Mithen</v>
      </c>
      <c r="AJ8" s="92">
        <f>'Stage  Entry'!AM16</f>
        <v>0.012083333333333333</v>
      </c>
      <c r="AK8" s="93">
        <f>AH8+AJ8</f>
        <v>0.13831018518518517</v>
      </c>
      <c r="AL8" s="91" t="str">
        <f>'Stage  Entry'!AQ16</f>
        <v>Anthony Weiland</v>
      </c>
      <c r="AM8" s="92">
        <f>'Stage  Entry'!AR16</f>
        <v>0.011157407407407408</v>
      </c>
      <c r="AN8" s="93">
        <f>AK8+AM8</f>
        <v>0.14946759259259257</v>
      </c>
      <c r="AO8" s="91" t="str">
        <f>'Stage  Entry'!AV16</f>
        <v>Mike Bialczak</v>
      </c>
      <c r="AP8" s="92">
        <f>'Stage  Entry'!AW16</f>
        <v>0.010416666666666666</v>
      </c>
      <c r="AQ8" s="93">
        <f>AN8+AP8</f>
        <v>0.15988425925925923</v>
      </c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10" spans="2:59" s="107" customFormat="1" ht="12.75">
      <c r="B10" s="108"/>
      <c r="C10" s="109" t="s">
        <v>43</v>
      </c>
      <c r="D10" s="110" t="s">
        <v>42</v>
      </c>
      <c r="E10" s="108"/>
      <c r="F10" s="109" t="s">
        <v>43</v>
      </c>
      <c r="G10" s="110" t="s">
        <v>42</v>
      </c>
      <c r="H10" s="108"/>
      <c r="I10" s="109" t="s">
        <v>43</v>
      </c>
      <c r="J10" s="110" t="s">
        <v>42</v>
      </c>
      <c r="K10" s="108"/>
      <c r="L10" s="109" t="s">
        <v>43</v>
      </c>
      <c r="M10" s="110" t="s">
        <v>42</v>
      </c>
      <c r="N10" s="108"/>
      <c r="O10" s="109" t="s">
        <v>43</v>
      </c>
      <c r="P10" s="110" t="s">
        <v>42</v>
      </c>
      <c r="Q10" s="108"/>
      <c r="R10" s="109" t="s">
        <v>43</v>
      </c>
      <c r="S10" s="110" t="s">
        <v>42</v>
      </c>
      <c r="T10" s="108"/>
      <c r="U10" s="109" t="s">
        <v>43</v>
      </c>
      <c r="V10" s="110" t="s">
        <v>42</v>
      </c>
      <c r="W10" s="108"/>
      <c r="X10" s="109" t="s">
        <v>43</v>
      </c>
      <c r="Y10" s="110" t="s">
        <v>42</v>
      </c>
      <c r="Z10" s="108"/>
      <c r="AA10" s="109" t="s">
        <v>43</v>
      </c>
      <c r="AB10" s="110" t="s">
        <v>42</v>
      </c>
      <c r="AC10" s="108"/>
      <c r="AD10" s="109" t="s">
        <v>43</v>
      </c>
      <c r="AE10" s="110" t="s">
        <v>42</v>
      </c>
      <c r="AF10" s="108"/>
      <c r="AG10" s="109" t="s">
        <v>43</v>
      </c>
      <c r="AH10" s="110" t="s">
        <v>42</v>
      </c>
      <c r="AI10" s="108"/>
      <c r="AJ10" s="109" t="s">
        <v>43</v>
      </c>
      <c r="AK10" s="110" t="s">
        <v>42</v>
      </c>
      <c r="AL10" s="108"/>
      <c r="AM10" s="109" t="s">
        <v>43</v>
      </c>
      <c r="AN10" s="110" t="s">
        <v>42</v>
      </c>
      <c r="AO10" s="108"/>
      <c r="AP10" s="109" t="s">
        <v>43</v>
      </c>
      <c r="AQ10" s="110" t="s">
        <v>42</v>
      </c>
      <c r="AR10" s="113"/>
      <c r="AS10" s="114" t="s">
        <v>0</v>
      </c>
      <c r="AT10" s="115">
        <v>1</v>
      </c>
      <c r="AU10" s="115">
        <v>2</v>
      </c>
      <c r="AV10" s="115">
        <v>3</v>
      </c>
      <c r="AW10" s="115">
        <v>4</v>
      </c>
      <c r="AX10" s="115">
        <v>5</v>
      </c>
      <c r="AY10" s="115">
        <v>6</v>
      </c>
      <c r="AZ10" s="115">
        <v>7</v>
      </c>
      <c r="BA10" s="115">
        <v>8</v>
      </c>
      <c r="BB10" s="115">
        <v>9</v>
      </c>
      <c r="BC10" s="115">
        <v>10</v>
      </c>
      <c r="BD10" s="115">
        <v>11</v>
      </c>
      <c r="BE10" s="115">
        <v>12</v>
      </c>
      <c r="BF10" s="115">
        <v>13</v>
      </c>
      <c r="BG10" s="115">
        <v>14</v>
      </c>
    </row>
    <row r="11" spans="3:59" ht="12.75">
      <c r="C11" s="105">
        <f>RANK(D4,D$4:D$8,1)</f>
        <v>3</v>
      </c>
      <c r="D11" s="106">
        <f>D4-MIN(D$4,D$5,D$6,D$7,D$8)</f>
        <v>0.0005439814814814821</v>
      </c>
      <c r="F11" s="105">
        <f>RANK(G4,G$4:G$8,1)</f>
        <v>5</v>
      </c>
      <c r="G11" s="106">
        <f>G4-MIN(G$4,G$5,G$6,G$7,G$8)</f>
        <v>0.0011574074074074056</v>
      </c>
      <c r="I11" s="105">
        <f>RANK(J4,J$4:J$8,1)</f>
        <v>5</v>
      </c>
      <c r="J11" s="106">
        <f>J4-MIN(J$4,J$5,J$6,J$7,J$8)</f>
        <v>0.0010069444444444423</v>
      </c>
      <c r="L11" s="105">
        <f>RANK(M4,M$4:M$8,1)</f>
        <v>5</v>
      </c>
      <c r="M11" s="106">
        <f>M4-MIN(M$4,M$5,M$6,M$7,M$8)</f>
        <v>0.002083333333333333</v>
      </c>
      <c r="O11" s="105">
        <f>RANK(P4,P$4:P$8,1)</f>
        <v>5</v>
      </c>
      <c r="P11" s="106">
        <f>P4-MIN(P$4,P$5,P$6,P$7,P$8)</f>
        <v>0.0017129629629629647</v>
      </c>
      <c r="R11" s="105">
        <f>RANK(S4,S$4:S$8,1)</f>
        <v>5</v>
      </c>
      <c r="S11" s="106">
        <f>S4-MIN(S$4,S$5,S$6,S$7,S$8)</f>
        <v>0.0026273148148148046</v>
      </c>
      <c r="U11" s="105">
        <f>RANK(V4,V$4:V$8,1)</f>
        <v>5</v>
      </c>
      <c r="V11" s="106">
        <f>V4-MIN(V$4,V$5,V$6,V$7,V$8)</f>
        <v>0.0022800925925925836</v>
      </c>
      <c r="X11" s="105">
        <f>RANK(Y4,Y$4:Y$8,1)</f>
        <v>5</v>
      </c>
      <c r="Y11" s="106">
        <f>Y4-MIN(Y$4,Y$5,Y$6,Y$7,Y$8)</f>
        <v>0.002615740740740724</v>
      </c>
      <c r="AA11" s="105">
        <f>RANK(AB4,AB$4:AB$8,1)</f>
        <v>5</v>
      </c>
      <c r="AB11" s="106">
        <f>AB4-MIN(AB$4,AB$5,AB$6,AB$7,AB$8)</f>
        <v>0.0020717592592592315</v>
      </c>
      <c r="AD11" s="105">
        <f>RANK(AE4,AE$4:AE$8,1)</f>
        <v>5</v>
      </c>
      <c r="AE11" s="106">
        <f>AE4-MIN(AE$4,AE$5,AE$6,AE$7,AE$8)</f>
        <v>0.0035069444444444237</v>
      </c>
      <c r="AG11" s="105">
        <f>RANK(AH4,AH$4:AH$8,1)</f>
        <v>5</v>
      </c>
      <c r="AH11" s="106">
        <f>AH4-MIN(AH$4,AH$5,AH$6,AH$7,AH$8)</f>
        <v>0.0036689814814814398</v>
      </c>
      <c r="AJ11" s="105">
        <f>RANK(AK4,AK$4:AK$8,1)</f>
        <v>3</v>
      </c>
      <c r="AK11" s="106">
        <f>AK4-MIN(AK$4,AK$5,AK$6,AK$7,AK$8)</f>
        <v>0.002835648148148101</v>
      </c>
      <c r="AM11" s="105">
        <f>RANK(AN4,AN$4:AN$8,1)</f>
        <v>3</v>
      </c>
      <c r="AN11" s="106">
        <f>AN4-MIN(AN$4,AN$5,AN$6,AN$7,AN$8)</f>
        <v>0.00473379629629625</v>
      </c>
      <c r="AP11" s="105">
        <f>RANK(AQ4,AQ$4:AQ$8,1)</f>
        <v>4</v>
      </c>
      <c r="AQ11" s="106">
        <f>AQ4-MIN(AQ$4,AQ$5,AQ$6,AQ$7,AQ$8)</f>
        <v>0.0050115740740740156</v>
      </c>
      <c r="AR11" s="116"/>
      <c r="AS11" s="117" t="str">
        <f>A4</f>
        <v>House of Horrors</v>
      </c>
      <c r="AT11" s="118">
        <f>D11</f>
        <v>0.0005439814814814821</v>
      </c>
      <c r="AU11" s="118">
        <f>G11</f>
        <v>0.0011574074074074056</v>
      </c>
      <c r="AV11" s="118">
        <f>J11</f>
        <v>0.0010069444444444423</v>
      </c>
      <c r="AW11" s="118">
        <f>M11</f>
        <v>0.002083333333333333</v>
      </c>
      <c r="AX11" s="118">
        <f>P11</f>
        <v>0.0017129629629629647</v>
      </c>
      <c r="AY11" s="118">
        <f>S11</f>
        <v>0.0026273148148148046</v>
      </c>
      <c r="AZ11" s="118">
        <f>V11</f>
        <v>0.0022800925925925836</v>
      </c>
      <c r="BA11" s="118">
        <f>Y11</f>
        <v>0.002615740740740724</v>
      </c>
      <c r="BB11" s="118">
        <f>AB11</f>
        <v>0.0020717592592592315</v>
      </c>
      <c r="BC11" s="118">
        <f>AE11</f>
        <v>0.0035069444444444237</v>
      </c>
      <c r="BD11" s="118">
        <f>AH11</f>
        <v>0.0036689814814814398</v>
      </c>
      <c r="BE11" s="118">
        <f>AK11</f>
        <v>0.002835648148148101</v>
      </c>
      <c r="BF11" s="118">
        <f>AN11</f>
        <v>0.00473379629629625</v>
      </c>
      <c r="BG11" s="118">
        <f>AQ11</f>
        <v>0.0050115740740740156</v>
      </c>
    </row>
    <row r="12" spans="3:59" ht="12.75">
      <c r="C12" s="105">
        <f>RANK(D5,D$4:D$8,1)</f>
        <v>5</v>
      </c>
      <c r="D12" s="106">
        <f>D5-MIN(D$4,D$5,D$6,D$7,D$8)</f>
        <v>0.0009143518518518537</v>
      </c>
      <c r="F12" s="105">
        <f>RANK(G5,G$4:G$8,1)</f>
        <v>4</v>
      </c>
      <c r="G12" s="106">
        <f>G5-MIN(G$4,G$5,G$6,G$7,G$8)</f>
        <v>0.0009953703703703687</v>
      </c>
      <c r="I12" s="105">
        <f>RANK(J5,J$4:J$8,1)</f>
        <v>3</v>
      </c>
      <c r="J12" s="106">
        <f>J5-MIN(J$4,J$5,J$6,J$7,J$8)</f>
        <v>0.0005787037037036993</v>
      </c>
      <c r="L12" s="105">
        <f>RANK(M5,M$4:M$8,1)</f>
        <v>2</v>
      </c>
      <c r="M12" s="106">
        <f>M5-MIN(M$4,M$5,M$6,M$7,M$8)</f>
        <v>0.0004976851851851843</v>
      </c>
      <c r="O12" s="105">
        <f>RANK(P5,P$4:P$8,1)</f>
        <v>4</v>
      </c>
      <c r="P12" s="106">
        <f>P5-MIN(P$4,P$5,P$6,P$7,P$8)</f>
        <v>0.0014814814814814795</v>
      </c>
      <c r="R12" s="105">
        <f>RANK(S5,S$4:S$8,1)</f>
        <v>4</v>
      </c>
      <c r="S12" s="106">
        <f>S5-MIN(S$4,S$5,S$6,S$7,S$8)</f>
        <v>0.001759259259259252</v>
      </c>
      <c r="U12" s="105">
        <f>RANK(V5,V$4:V$8,1)</f>
        <v>4</v>
      </c>
      <c r="V12" s="106">
        <f>V5-MIN(V$4,V$5,V$6,V$7,V$8)</f>
        <v>0.0012962962962962815</v>
      </c>
      <c r="X12" s="105">
        <f>RANK(Y5,Y$4:Y$8,1)</f>
        <v>4</v>
      </c>
      <c r="Y12" s="106">
        <f>Y5-MIN(Y$4,Y$5,Y$6,Y$7,Y$8)</f>
        <v>0.0011458333333333182</v>
      </c>
      <c r="AA12" s="105">
        <f>RANK(AB5,AB$4:AB$8,1)</f>
        <v>3</v>
      </c>
      <c r="AB12" s="106">
        <f>AB5-MIN(AB$4,AB$5,AB$6,AB$7,AB$8)</f>
        <v>0.0008564814814814581</v>
      </c>
      <c r="AD12" s="105">
        <f>RANK(AE5,AE$4:AE$8,1)</f>
        <v>4</v>
      </c>
      <c r="AE12" s="106">
        <f>AE5-MIN(AE$4,AE$5,AE$6,AE$7,AE$8)</f>
        <v>0.0026851851851851655</v>
      </c>
      <c r="AG12" s="105">
        <f>RANK(AH5,AH$4:AH$8,1)</f>
        <v>3</v>
      </c>
      <c r="AH12" s="106">
        <f>AH5-MIN(AH$4,AH$5,AH$6,AH$7,AH$8)</f>
        <v>0.0026041666666666435</v>
      </c>
      <c r="AJ12" s="105">
        <f>RANK(AK5,AK$4:AK$8,1)</f>
        <v>5</v>
      </c>
      <c r="AK12" s="106">
        <f>AK5-MIN(AK$4,AK$5,AK$6,AK$7,AK$8)</f>
        <v>0.004849537037037027</v>
      </c>
      <c r="AM12" s="105">
        <f>RANK(AN5,AN$4:AN$8,1)</f>
        <v>4</v>
      </c>
      <c r="AN12" s="106">
        <f>AN5-MIN(AN$4,AN$5,AN$6,AN$7,AN$8)</f>
        <v>0.004930555555555549</v>
      </c>
      <c r="AP12" s="105">
        <f>RANK(AQ5,AQ$4:AQ$8,1)</f>
        <v>3</v>
      </c>
      <c r="AQ12" s="106">
        <f>AQ5-MIN(AQ$4,AQ$5,AQ$6,AQ$7,AQ$8)</f>
        <v>0.0038773148148148195</v>
      </c>
      <c r="AR12" s="116"/>
      <c r="AS12" s="117" t="str">
        <f>A5</f>
        <v>Bevo's Bombers</v>
      </c>
      <c r="AT12" s="118">
        <f>D12</f>
        <v>0.0009143518518518537</v>
      </c>
      <c r="AU12" s="118">
        <f>G12</f>
        <v>0.0009953703703703687</v>
      </c>
      <c r="AV12" s="118">
        <f>J12</f>
        <v>0.0005787037037036993</v>
      </c>
      <c r="AW12" s="118">
        <f>M12</f>
        <v>0.0004976851851851843</v>
      </c>
      <c r="AX12" s="118">
        <f>P12</f>
        <v>0.0014814814814814795</v>
      </c>
      <c r="AY12" s="118">
        <f>S12</f>
        <v>0.001759259259259252</v>
      </c>
      <c r="AZ12" s="118">
        <f>V12</f>
        <v>0.0012962962962962815</v>
      </c>
      <c r="BA12" s="118">
        <f>Y12</f>
        <v>0.0011458333333333182</v>
      </c>
      <c r="BB12" s="118">
        <f>AB12</f>
        <v>0.0008564814814814581</v>
      </c>
      <c r="BC12" s="118">
        <f>AE12</f>
        <v>0.0026851851851851655</v>
      </c>
      <c r="BD12" s="118">
        <f>AH12</f>
        <v>0.0026041666666666435</v>
      </c>
      <c r="BE12" s="118">
        <f>AK12</f>
        <v>0.004849537037037027</v>
      </c>
      <c r="BF12" s="118">
        <f>AN12</f>
        <v>0.004930555555555549</v>
      </c>
      <c r="BG12" s="118">
        <f>AQ12</f>
        <v>0.0038773148148148195</v>
      </c>
    </row>
    <row r="13" spans="3:59" ht="12.75">
      <c r="C13" s="105">
        <f>RANK(D6,D$4:D$8,1)</f>
        <v>1</v>
      </c>
      <c r="D13" s="106">
        <f>D6-MIN(D$4,D$5,D$6,D$7,D$8)</f>
        <v>0</v>
      </c>
      <c r="F13" s="105">
        <f>RANK(G6,G$4:G$8,1)</f>
        <v>1</v>
      </c>
      <c r="G13" s="106">
        <f>G6-MIN(G$4,G$5,G$6,G$7,G$8)</f>
        <v>0</v>
      </c>
      <c r="I13" s="105">
        <f>RANK(J6,J$4:J$8,1)</f>
        <v>1</v>
      </c>
      <c r="J13" s="106">
        <f>J6-MIN(J$4,J$5,J$6,J$7,J$8)</f>
        <v>0</v>
      </c>
      <c r="L13" s="105">
        <f>RANK(M6,M$4:M$8,1)</f>
        <v>1</v>
      </c>
      <c r="M13" s="106">
        <f>M6-MIN(M$4,M$5,M$6,M$7,M$8)</f>
        <v>0</v>
      </c>
      <c r="O13" s="105">
        <f>RANK(P6,P$4:P$8,1)</f>
        <v>1</v>
      </c>
      <c r="P13" s="106">
        <f>P6-MIN(P$4,P$5,P$6,P$7,P$8)</f>
        <v>0</v>
      </c>
      <c r="R13" s="105">
        <f>RANK(S6,S$4:S$8,1)</f>
        <v>2</v>
      </c>
      <c r="S13" s="106">
        <f>S6-MIN(S$4,S$5,S$6,S$7,S$8)</f>
        <v>0.0003009259259259267</v>
      </c>
      <c r="U13" s="105">
        <f>RANK(V6,V$4:V$8,1)</f>
        <v>1</v>
      </c>
      <c r="V13" s="106">
        <f>V6-MIN(V$4,V$5,V$6,V$7,V$8)</f>
        <v>0</v>
      </c>
      <c r="X13" s="105">
        <f>RANK(Y6,Y$4:Y$8,1)</f>
        <v>2</v>
      </c>
      <c r="Y13" s="106">
        <f>Y6-MIN(Y$4,Y$5,Y$6,Y$7,Y$8)</f>
        <v>8.101851851852193E-05</v>
      </c>
      <c r="AA13" s="105">
        <f>RANK(AB6,AB$4:AB$8,1)</f>
        <v>1</v>
      </c>
      <c r="AB13" s="106">
        <f>AB6-MIN(AB$4,AB$5,AB$6,AB$7,AB$8)</f>
        <v>0</v>
      </c>
      <c r="AD13" s="105">
        <f>RANK(AE6,AE$4:AE$8,1)</f>
        <v>2</v>
      </c>
      <c r="AE13" s="106">
        <f>AE6-MIN(AE$4,AE$5,AE$6,AE$7,AE$8)</f>
        <v>0.00010416666666668295</v>
      </c>
      <c r="AG13" s="105">
        <f>RANK(AH6,AH$4:AH$8,1)</f>
        <v>2</v>
      </c>
      <c r="AH13" s="106">
        <f>AH6-MIN(AH$4,AH$5,AH$6,AH$7,AH$8)</f>
        <v>0.00017361111111112437</v>
      </c>
      <c r="AJ13" s="105">
        <f>RANK(AK6,AK$4:AK$8,1)</f>
        <v>2</v>
      </c>
      <c r="AK13" s="106">
        <f>AK6-MIN(AK$4,AK$5,AK$6,AK$7,AK$8)</f>
        <v>0.00023148148148149916</v>
      </c>
      <c r="AM13" s="105">
        <f>RANK(AN6,AN$4:AN$8,1)</f>
        <v>2</v>
      </c>
      <c r="AN13" s="106">
        <f>AN6-MIN(AN$4,AN$5,AN$6,AN$7,AN$8)</f>
        <v>0.0005324074074074259</v>
      </c>
      <c r="AP13" s="105">
        <f>RANK(AQ6,AQ$4:AQ$8,1)</f>
        <v>2</v>
      </c>
      <c r="AQ13" s="106">
        <f>AQ6-MIN(AQ$4,AQ$5,AQ$6,AQ$7,AQ$8)</f>
        <v>0.00015046296296297723</v>
      </c>
      <c r="AR13" s="116"/>
      <c r="AS13" s="117" t="str">
        <f>A6</f>
        <v>Smoothy's Debacle</v>
      </c>
      <c r="AT13" s="118">
        <f>D13</f>
        <v>0</v>
      </c>
      <c r="AU13" s="118">
        <f>G13</f>
        <v>0</v>
      </c>
      <c r="AV13" s="118">
        <f>J13</f>
        <v>0</v>
      </c>
      <c r="AW13" s="118">
        <f>M13</f>
        <v>0</v>
      </c>
      <c r="AX13" s="118">
        <f>P13</f>
        <v>0</v>
      </c>
      <c r="AY13" s="118">
        <f>S13</f>
        <v>0.0003009259259259267</v>
      </c>
      <c r="AZ13" s="118">
        <f>V13</f>
        <v>0</v>
      </c>
      <c r="BA13" s="118">
        <f>Y13</f>
        <v>8.101851851852193E-05</v>
      </c>
      <c r="BB13" s="118">
        <f>AB13</f>
        <v>0</v>
      </c>
      <c r="BC13" s="118">
        <f>AE13</f>
        <v>0.00010416666666668295</v>
      </c>
      <c r="BD13" s="118">
        <f>AH13</f>
        <v>0.00017361111111112437</v>
      </c>
      <c r="BE13" s="118">
        <f>AK13</f>
        <v>0.00023148148148149916</v>
      </c>
      <c r="BF13" s="118">
        <f>AN13</f>
        <v>0.0005324074074074259</v>
      </c>
      <c r="BG13" s="118">
        <f>AQ13</f>
        <v>0.00015046296296297723</v>
      </c>
    </row>
    <row r="14" spans="3:59" ht="12.75">
      <c r="C14" s="105">
        <f>RANK(D7,D$4:D$8,1)</f>
        <v>2</v>
      </c>
      <c r="D14" s="106">
        <f>D7-MIN(D$4,D$5,D$6,D$7,D$8)</f>
        <v>0.00039351851851851874</v>
      </c>
      <c r="F14" s="105">
        <f>RANK(G7,G$4:G$8,1)</f>
        <v>2</v>
      </c>
      <c r="G14" s="106">
        <f>G7-MIN(G$4,G$5,G$6,G$7,G$8)</f>
        <v>0.000439814814814813</v>
      </c>
      <c r="I14" s="105">
        <f>RANK(J7,J$4:J$8,1)</f>
        <v>2</v>
      </c>
      <c r="J14" s="106">
        <f>J7-MIN(J$4,J$5,J$6,J$7,J$8)</f>
        <v>0.00031249999999999334</v>
      </c>
      <c r="L14" s="105">
        <f>RANK(M7,M$4:M$8,1)</f>
        <v>3</v>
      </c>
      <c r="M14" s="106">
        <f>M7-MIN(M$4,M$5,M$6,M$7,M$8)</f>
        <v>0.000694444444444442</v>
      </c>
      <c r="O14" s="105">
        <f>RANK(P7,P$4:P$8,1)</f>
        <v>2</v>
      </c>
      <c r="P14" s="106">
        <f>P7-MIN(P$4,P$5,P$6,P$7,P$8)</f>
        <v>0.0003009259259259267</v>
      </c>
      <c r="R14" s="105">
        <f>RANK(S7,S$4:S$8,1)</f>
        <v>1</v>
      </c>
      <c r="S14" s="106">
        <f>S7-MIN(S$4,S$5,S$6,S$7,S$8)</f>
        <v>0</v>
      </c>
      <c r="U14" s="105">
        <f>RANK(V7,V$4:V$8,1)</f>
        <v>2</v>
      </c>
      <c r="V14" s="106">
        <f>V7-MIN(V$4,V$5,V$6,V$7,V$8)</f>
        <v>0.000347222222222221</v>
      </c>
      <c r="X14" s="105">
        <f>RANK(Y7,Y$4:Y$8,1)</f>
        <v>1</v>
      </c>
      <c r="Y14" s="106">
        <f>Y7-MIN(Y$4,Y$5,Y$6,Y$7,Y$8)</f>
        <v>0</v>
      </c>
      <c r="AA14" s="105">
        <f>RANK(AB7,AB$4:AB$8,1)</f>
        <v>2</v>
      </c>
      <c r="AB14" s="106">
        <f>AB7-MIN(AB$4,AB$5,AB$6,AB$7,AB$8)</f>
        <v>8.101851851850805E-05</v>
      </c>
      <c r="AD14" s="105">
        <f>RANK(AE7,AE$4:AE$8,1)</f>
        <v>1</v>
      </c>
      <c r="AE14" s="106">
        <f>AE7-MIN(AE$4,AE$5,AE$6,AE$7,AE$8)</f>
        <v>0</v>
      </c>
      <c r="AG14" s="105">
        <f>RANK(AH7,AH$4:AH$8,1)</f>
        <v>1</v>
      </c>
      <c r="AH14" s="106">
        <f>AH7-MIN(AH$4,AH$5,AH$6,AH$7,AH$8)</f>
        <v>0</v>
      </c>
      <c r="AJ14" s="105">
        <f>RANK(AK7,AK$4:AK$8,1)</f>
        <v>1</v>
      </c>
      <c r="AK14" s="106">
        <f>AK7-MIN(AK$4,AK$5,AK$6,AK$7,AK$8)</f>
        <v>0</v>
      </c>
      <c r="AM14" s="105">
        <f>RANK(AN7,AN$4:AN$8,1)</f>
        <v>1</v>
      </c>
      <c r="AN14" s="106">
        <f>AN7-MIN(AN$4,AN$5,AN$6,AN$7,AN$8)</f>
        <v>0</v>
      </c>
      <c r="AP14" s="105">
        <f>RANK(AQ7,AQ$4:AQ$8,1)</f>
        <v>1</v>
      </c>
      <c r="AQ14" s="106">
        <f>AQ7-MIN(AQ$4,AQ$5,AQ$6,AQ$7,AQ$8)</f>
        <v>0</v>
      </c>
      <c r="AR14" s="116"/>
      <c r="AS14" s="117" t="str">
        <f>A7</f>
        <v>International Rules</v>
      </c>
      <c r="AT14" s="118">
        <f>D14</f>
        <v>0.00039351851851851874</v>
      </c>
      <c r="AU14" s="118">
        <f>G14</f>
        <v>0.000439814814814813</v>
      </c>
      <c r="AV14" s="118">
        <f>J14</f>
        <v>0.00031249999999999334</v>
      </c>
      <c r="AW14" s="118">
        <f>M14</f>
        <v>0.000694444444444442</v>
      </c>
      <c r="AX14" s="118">
        <f>P14</f>
        <v>0.0003009259259259267</v>
      </c>
      <c r="AY14" s="118">
        <f>S14</f>
        <v>0</v>
      </c>
      <c r="AZ14" s="118">
        <f>V14</f>
        <v>0.000347222222222221</v>
      </c>
      <c r="BA14" s="118">
        <f>Y14</f>
        <v>0</v>
      </c>
      <c r="BB14" s="118">
        <f>AB14</f>
        <v>8.101851851850805E-05</v>
      </c>
      <c r="BC14" s="118">
        <f>AE14</f>
        <v>0</v>
      </c>
      <c r="BD14" s="118">
        <f>AH14</f>
        <v>0</v>
      </c>
      <c r="BE14" s="118">
        <f>AK14</f>
        <v>0</v>
      </c>
      <c r="BF14" s="118">
        <f>AN14</f>
        <v>0</v>
      </c>
      <c r="BG14" s="118">
        <f>AQ14</f>
        <v>0</v>
      </c>
    </row>
    <row r="15" spans="3:59" ht="12.75">
      <c r="C15" s="105">
        <f>RANK(D8,D$4:D$8,1)</f>
        <v>4</v>
      </c>
      <c r="D15" s="106">
        <f>D8-MIN(D$4,D$5,D$6,D$7,D$8)</f>
        <v>0.0008217592592592617</v>
      </c>
      <c r="F15" s="105">
        <f>RANK(G8,G$4:G$8,1)</f>
        <v>3</v>
      </c>
      <c r="G15" s="106">
        <f>G8-MIN(G$4,G$5,G$6,G$7,G$8)</f>
        <v>0.00048611111111111077</v>
      </c>
      <c r="I15" s="105">
        <f>RANK(J8,J$4:J$8,1)</f>
        <v>4</v>
      </c>
      <c r="J15" s="106">
        <f>J8-MIN(J$4,J$5,J$6,J$7,J$8)</f>
        <v>0.0006828703703703684</v>
      </c>
      <c r="L15" s="105">
        <f>RANK(M8,M$4:M$8,1)</f>
        <v>4</v>
      </c>
      <c r="M15" s="106">
        <f>M8-MIN(M$4,M$5,M$6,M$7,M$8)</f>
        <v>0.0009953703703703687</v>
      </c>
      <c r="O15" s="105">
        <f>RANK(P8,P$4:P$8,1)</f>
        <v>3</v>
      </c>
      <c r="P15" s="106">
        <f>P8-MIN(P$4,P$5,P$6,P$7,P$8)</f>
        <v>0.0014236111111111116</v>
      </c>
      <c r="R15" s="105">
        <f>RANK(S8,S$4:S$8,1)</f>
        <v>3</v>
      </c>
      <c r="S15" s="106">
        <f>S8-MIN(S$4,S$5,S$6,S$7,S$8)</f>
        <v>0.0008333333333333248</v>
      </c>
      <c r="U15" s="105">
        <f>RANK(V8,V$4:V$8,1)</f>
        <v>3</v>
      </c>
      <c r="V15" s="106">
        <f>V8-MIN(V$4,V$5,V$6,V$7,V$8)</f>
        <v>0.0010763888888888767</v>
      </c>
      <c r="X15" s="105">
        <f>RANK(Y8,Y$4:Y$8,1)</f>
        <v>3</v>
      </c>
      <c r="Y15" s="106">
        <f>Y8-MIN(Y$4,Y$5,Y$6,Y$7,Y$8)</f>
        <v>0.0006365740740740533</v>
      </c>
      <c r="AA15" s="105">
        <f>RANK(AB8,AB$4:AB$8,1)</f>
        <v>4</v>
      </c>
      <c r="AB15" s="106">
        <f>AB8-MIN(AB$4,AB$5,AB$6,AB$7,AB$8)</f>
        <v>0.0014930555555555253</v>
      </c>
      <c r="AD15" s="105">
        <f>RANK(AE8,AE$4:AE$8,1)</f>
        <v>3</v>
      </c>
      <c r="AE15" s="106">
        <f>AE8-MIN(AE$4,AE$5,AE$6,AE$7,AE$8)</f>
        <v>0.0022222222222222088</v>
      </c>
      <c r="AG15" s="105">
        <f>RANK(AH8,AH$4:AH$8,1)</f>
        <v>4</v>
      </c>
      <c r="AH15" s="106">
        <f>AH8-MIN(AH$4,AH$5,AH$6,AH$7,AH$8)</f>
        <v>0.0029513888888888645</v>
      </c>
      <c r="AJ15" s="105">
        <f>RANK(AK8,AK$4:AK$8,1)</f>
        <v>4</v>
      </c>
      <c r="AK15" s="106">
        <f>AK8-MIN(AK$4,AK$5,AK$6,AK$7,AK$8)</f>
        <v>0.004432870370370351</v>
      </c>
      <c r="AM15" s="105">
        <f>RANK(AN8,AN$4:AN$8,1)</f>
        <v>5</v>
      </c>
      <c r="AN15" s="106">
        <f>AN8-MIN(AN$4,AN$5,AN$6,AN$7,AN$8)</f>
        <v>0.005254629629629609</v>
      </c>
      <c r="AP15" s="105">
        <f>RANK(AQ8,AQ$4:AQ$8,1)</f>
        <v>5</v>
      </c>
      <c r="AQ15" s="106">
        <f>AQ8-MIN(AQ$4,AQ$5,AQ$6,AQ$7,AQ$8)</f>
        <v>0.005740740740740713</v>
      </c>
      <c r="AR15" s="116"/>
      <c r="AS15" s="117" t="str">
        <f>A8</f>
        <v>Forty Odd Foot of Grunt</v>
      </c>
      <c r="AT15" s="118">
        <f>D15</f>
        <v>0.0008217592592592617</v>
      </c>
      <c r="AU15" s="118">
        <f>G15</f>
        <v>0.00048611111111111077</v>
      </c>
      <c r="AV15" s="118">
        <f>J15</f>
        <v>0.0006828703703703684</v>
      </c>
      <c r="AW15" s="118">
        <f>M15</f>
        <v>0.0009953703703703687</v>
      </c>
      <c r="AX15" s="118">
        <f>P15</f>
        <v>0.0014236111111111116</v>
      </c>
      <c r="AY15" s="118">
        <f>S15</f>
        <v>0.0008333333333333248</v>
      </c>
      <c r="AZ15" s="118">
        <f>V15</f>
        <v>0.0010763888888888767</v>
      </c>
      <c r="BA15" s="118">
        <f>Y15</f>
        <v>0.0006365740740740533</v>
      </c>
      <c r="BB15" s="118">
        <f>AB15</f>
        <v>0.0014930555555555253</v>
      </c>
      <c r="BC15" s="118">
        <f>AE15</f>
        <v>0.0022222222222222088</v>
      </c>
      <c r="BD15" s="118">
        <f>AH15</f>
        <v>0.0029513888888888645</v>
      </c>
      <c r="BE15" s="118">
        <f>AK15</f>
        <v>0.004432870370370351</v>
      </c>
      <c r="BF15" s="118">
        <f>AN15</f>
        <v>0.005254629629629609</v>
      </c>
      <c r="BG15" s="118">
        <f>AQ15</f>
        <v>0.005740740740740713</v>
      </c>
    </row>
  </sheetData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showZeros="0" workbookViewId="0" topLeftCell="B1">
      <selection activeCell="B1" sqref="B1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0" customWidth="1"/>
    <col min="5" max="5" width="5.7109375" style="3" customWidth="1"/>
    <col min="6" max="6" width="6.7109375" style="10" customWidth="1"/>
    <col min="7" max="7" width="1.7109375" style="1" customWidth="1"/>
    <col min="8" max="8" width="5.7109375" style="2" customWidth="1"/>
    <col min="9" max="9" width="5.7109375" style="10" customWidth="1"/>
    <col min="10" max="10" width="5.7109375" style="3" customWidth="1"/>
    <col min="11" max="11" width="6.7109375" style="10" customWidth="1"/>
    <col min="12" max="12" width="1.7109375" style="1" customWidth="1"/>
    <col min="13" max="13" width="5.7109375" style="2" customWidth="1"/>
    <col min="14" max="14" width="5.7109375" style="10" customWidth="1"/>
    <col min="15" max="15" width="5.7109375" style="3" customWidth="1"/>
    <col min="16" max="16" width="6.7109375" style="10" customWidth="1"/>
    <col min="17" max="17" width="1.7109375" style="1" customWidth="1"/>
    <col min="18" max="18" width="5.7109375" style="2" customWidth="1"/>
    <col min="19" max="19" width="5.7109375" style="10" customWidth="1"/>
    <col min="20" max="20" width="5.7109375" style="3" customWidth="1"/>
    <col min="21" max="21" width="6.7109375" style="10" customWidth="1"/>
    <col min="22" max="22" width="1.7109375" style="1" customWidth="1"/>
    <col min="23" max="23" width="7.7109375" style="3" customWidth="1"/>
    <col min="24" max="24" width="7.7109375" style="10" customWidth="1"/>
    <col min="25" max="25" width="1.1484375" style="1" customWidth="1"/>
    <col min="26" max="16384" width="9.140625" style="1" customWidth="1"/>
  </cols>
  <sheetData>
    <row r="1" spans="1:24" s="7" customFormat="1" ht="12.75">
      <c r="A1" s="25"/>
      <c r="B1" s="26"/>
      <c r="C1" s="11" t="s">
        <v>33</v>
      </c>
      <c r="D1" s="18"/>
      <c r="E1" s="20"/>
      <c r="F1" s="22"/>
      <c r="G1" s="1"/>
      <c r="H1" s="11" t="s">
        <v>34</v>
      </c>
      <c r="I1" s="18"/>
      <c r="J1" s="20"/>
      <c r="K1" s="22"/>
      <c r="L1" s="1"/>
      <c r="M1" s="11" t="s">
        <v>35</v>
      </c>
      <c r="N1" s="18"/>
      <c r="O1" s="20"/>
      <c r="P1" s="22"/>
      <c r="Q1" s="1"/>
      <c r="R1" s="11" t="s">
        <v>36</v>
      </c>
      <c r="S1" s="18"/>
      <c r="T1" s="20"/>
      <c r="U1" s="22"/>
      <c r="W1" s="28" t="s">
        <v>39</v>
      </c>
      <c r="X1" s="27" t="s">
        <v>40</v>
      </c>
    </row>
    <row r="2" spans="1:26" ht="12.75">
      <c r="A2" s="9" t="s">
        <v>28</v>
      </c>
      <c r="B2" s="8"/>
      <c r="C2" s="146" t="s">
        <v>11</v>
      </c>
      <c r="D2" s="27" t="s">
        <v>7</v>
      </c>
      <c r="E2" s="28" t="s">
        <v>32</v>
      </c>
      <c r="F2" s="27" t="s">
        <v>8</v>
      </c>
      <c r="H2" s="12" t="s">
        <v>11</v>
      </c>
      <c r="I2" s="19" t="s">
        <v>7</v>
      </c>
      <c r="J2" s="21" t="s">
        <v>32</v>
      </c>
      <c r="K2" s="19" t="s">
        <v>8</v>
      </c>
      <c r="M2" s="12" t="s">
        <v>11</v>
      </c>
      <c r="N2" s="19" t="s">
        <v>7</v>
      </c>
      <c r="O2" s="21" t="s">
        <v>32</v>
      </c>
      <c r="P2" s="19" t="s">
        <v>8</v>
      </c>
      <c r="R2" s="12" t="s">
        <v>11</v>
      </c>
      <c r="S2" s="19" t="s">
        <v>7</v>
      </c>
      <c r="T2" s="21" t="s">
        <v>32</v>
      </c>
      <c r="U2" s="19" t="s">
        <v>8</v>
      </c>
      <c r="W2" s="152" t="s">
        <v>38</v>
      </c>
      <c r="X2" s="153" t="s">
        <v>8</v>
      </c>
      <c r="Z2" s="2" t="s">
        <v>10</v>
      </c>
    </row>
    <row r="3" spans="1:26" ht="12.75">
      <c r="A3" s="4"/>
      <c r="B3" s="145" t="str">
        <f>+'Team Selection'!D3</f>
        <v>Stephen Paine</v>
      </c>
      <c r="C3" s="147" t="str">
        <f>VLOOKUP($B3&amp;"1",Data!$C:$G,2,FALSE)</f>
        <v>1 #1</v>
      </c>
      <c r="D3" s="148">
        <f>VLOOKUP($B3&amp;"1",Data!$C:$G,4,FALSE)</f>
        <v>0.0069097222222222225</v>
      </c>
      <c r="E3" s="149">
        <f>VLOOKUP($B3&amp;"1",Data!$C:$G,5,FALSE)</f>
        <v>3</v>
      </c>
      <c r="F3" s="150">
        <f>+D3/E3</f>
        <v>0.0023032407407407407</v>
      </c>
      <c r="H3" s="147">
        <f>VLOOKUP($B3&amp;"2",Data!$C:$G,2,FALSE)</f>
        <v>5</v>
      </c>
      <c r="I3" s="148">
        <f>VLOOKUP($B3&amp;"2",Data!$C:$G,4,FALSE)</f>
        <v>0.010185185185185184</v>
      </c>
      <c r="J3" s="149">
        <f>VLOOKUP($B3&amp;"2",Data!$C:$G,5,FALSE)</f>
        <v>4.7</v>
      </c>
      <c r="K3" s="150">
        <f>+I3/J3</f>
        <v>0.0021670606776989752</v>
      </c>
      <c r="M3" s="147">
        <f>VLOOKUP($B3&amp;"3",Data!$C:$G,2,FALSE)</f>
        <v>9</v>
      </c>
      <c r="N3" s="148">
        <f>VLOOKUP($B3&amp;"3",Data!$C:$G,4,FALSE)</f>
        <v>0.00954861111111111</v>
      </c>
      <c r="O3" s="149">
        <f>VLOOKUP($B3&amp;"3",Data!$C:$G,5,FALSE)</f>
        <v>3.6</v>
      </c>
      <c r="P3" s="150">
        <f>+N3/O3</f>
        <v>0.0026523919753086416</v>
      </c>
      <c r="R3" s="147">
        <f>VLOOKUP($B3&amp;"4",Data!$C:$G,2,FALSE)</f>
        <v>12</v>
      </c>
      <c r="S3" s="148">
        <f>VLOOKUP($B3&amp;"4",Data!$C:$G,4,FALSE)</f>
        <v>0.009768518518518518</v>
      </c>
      <c r="T3" s="149">
        <f>VLOOKUP($B3&amp;"4",Data!$C:$G,5,FALSE)</f>
        <v>4</v>
      </c>
      <c r="U3" s="150">
        <f>+S3/T3</f>
        <v>0.0024421296296296296</v>
      </c>
      <c r="W3" s="154">
        <f>SUM(E3,J3,O3,T3)</f>
        <v>15.3</v>
      </c>
      <c r="X3" s="150">
        <f>SUM(D3,I3,N3,S3)/W3</f>
        <v>0.002379871701767126</v>
      </c>
      <c r="Z3" s="2">
        <f>RANK(X3,X3:X7,1)</f>
        <v>2</v>
      </c>
    </row>
    <row r="4" spans="1:26" ht="12.75">
      <c r="A4" s="5"/>
      <c r="B4" s="145" t="str">
        <f>+'Team Selection'!D4</f>
        <v>Simon Bevage</v>
      </c>
      <c r="C4" s="151" t="str">
        <f>VLOOKUP($B4&amp;"1",Data!$C:$G,2,FALSE)</f>
        <v>1 #1</v>
      </c>
      <c r="D4" s="13">
        <f>VLOOKUP($B4&amp;"1",Data!$C:$G,4,FALSE)</f>
        <v>0.007071759259259259</v>
      </c>
      <c r="E4" s="14">
        <f>VLOOKUP($B4&amp;"1",Data!$C:$G,5,FALSE)</f>
        <v>3</v>
      </c>
      <c r="F4" s="15">
        <f>+D4/E4</f>
        <v>0.002357253086419753</v>
      </c>
      <c r="H4" s="151">
        <f>VLOOKUP($B4&amp;"2",Data!$C:$G,2,FALSE)</f>
        <v>4</v>
      </c>
      <c r="I4" s="13">
        <f>VLOOKUP($B4&amp;"2",Data!$C:$G,4,FALSE)</f>
        <v>0.01</v>
      </c>
      <c r="J4" s="14">
        <f>VLOOKUP($B4&amp;"2",Data!$C:$G,5,FALSE)</f>
        <v>4.2</v>
      </c>
      <c r="K4" s="15">
        <f>+I4/J4</f>
        <v>0.0023809523809523807</v>
      </c>
      <c r="M4" s="151">
        <f>VLOOKUP($B4&amp;"3",Data!$C:$G,2,FALSE)</f>
        <v>9</v>
      </c>
      <c r="N4" s="13">
        <f>VLOOKUP($B4&amp;"3",Data!$C:$G,4,FALSE)</f>
        <v>0.00980324074074074</v>
      </c>
      <c r="O4" s="14">
        <f>VLOOKUP($B4&amp;"3",Data!$C:$G,5,FALSE)</f>
        <v>3.6</v>
      </c>
      <c r="P4" s="15">
        <f>+N4/O4</f>
        <v>0.002723122427983539</v>
      </c>
      <c r="R4" s="151">
        <f>VLOOKUP($B4&amp;"4",Data!$C:$G,2,FALSE)</f>
        <v>13</v>
      </c>
      <c r="S4" s="13">
        <f>VLOOKUP($B4&amp;"4",Data!$C:$G,4,FALSE)</f>
        <v>0.010416666666666666</v>
      </c>
      <c r="T4" s="14">
        <f>VLOOKUP($B4&amp;"4",Data!$C:$G,5,FALSE)</f>
        <v>4.5</v>
      </c>
      <c r="U4" s="15">
        <f>+S4/T4</f>
        <v>0.0023148148148148147</v>
      </c>
      <c r="W4" s="155">
        <f>SUM(E4,J4,O4,T4)</f>
        <v>15.3</v>
      </c>
      <c r="X4" s="15">
        <f>SUM(D4,I4,N4,S4)/W4</f>
        <v>0.002437363834422658</v>
      </c>
      <c r="Z4" s="2">
        <f>RANK(X4,X3:X7,1)</f>
        <v>3</v>
      </c>
    </row>
    <row r="5" spans="1:26" ht="12.75">
      <c r="A5" s="5"/>
      <c r="B5" s="145" t="str">
        <f>+'Team Selection'!D5</f>
        <v>David Venour</v>
      </c>
      <c r="C5" s="151" t="str">
        <f>VLOOKUP($B5&amp;"1",Data!$C:$G,2,FALSE)</f>
        <v>1 #1</v>
      </c>
      <c r="D5" s="13">
        <f>VLOOKUP($B5&amp;"1",Data!$C:$G,4,FALSE)</f>
        <v>0.007025462962962963</v>
      </c>
      <c r="E5" s="14">
        <f>VLOOKUP($B5&amp;"1",Data!$C:$G,5,FALSE)</f>
        <v>3</v>
      </c>
      <c r="F5" s="15">
        <f>+D5/E5</f>
        <v>0.0023418209876543213</v>
      </c>
      <c r="H5" s="151">
        <f>VLOOKUP($B5&amp;"2",Data!$C:$G,2,FALSE)</f>
        <v>5</v>
      </c>
      <c r="I5" s="13">
        <f>VLOOKUP($B5&amp;"2",Data!$C:$G,4,FALSE)</f>
        <v>0.010555555555555554</v>
      </c>
      <c r="J5" s="14">
        <f>VLOOKUP($B5&amp;"2",Data!$C:$G,5,FALSE)</f>
        <v>4.7</v>
      </c>
      <c r="K5" s="15">
        <f>+I5/J5</f>
        <v>0.0022458628841607563</v>
      </c>
      <c r="M5" s="151">
        <f>VLOOKUP($B5&amp;"3",Data!$C:$G,2,FALSE)</f>
        <v>10</v>
      </c>
      <c r="N5" s="13">
        <f>VLOOKUP($B5&amp;"3",Data!$C:$G,4,FALSE)</f>
        <v>0.010243055555555556</v>
      </c>
      <c r="O5" s="14">
        <f>VLOOKUP($B5&amp;"3",Data!$C:$G,5,FALSE)</f>
        <v>4.45</v>
      </c>
      <c r="P5" s="15">
        <f>+N5/O5</f>
        <v>0.0023018102372034956</v>
      </c>
      <c r="R5" s="151">
        <f>VLOOKUP($B5&amp;"4",Data!$C:$G,2,FALSE)</f>
        <v>13</v>
      </c>
      <c r="S5" s="13">
        <f>VLOOKUP($B5&amp;"4",Data!$C:$G,4,FALSE)</f>
        <v>0.010636574074074074</v>
      </c>
      <c r="T5" s="14">
        <f>VLOOKUP($B5&amp;"4",Data!$C:$G,5,FALSE)</f>
        <v>4.5</v>
      </c>
      <c r="U5" s="15">
        <f>+S5/T5</f>
        <v>0.0023636831275720164</v>
      </c>
      <c r="W5" s="155">
        <f>SUM(E5,J5,O5,T5)</f>
        <v>16.65</v>
      </c>
      <c r="X5" s="15">
        <f>SUM(D5,I5,N5,S5)/W5</f>
        <v>0.0023099488377266155</v>
      </c>
      <c r="Z5" s="2">
        <f>RANK(X5,X3:X7,1)</f>
        <v>1</v>
      </c>
    </row>
    <row r="6" spans="1:26" ht="12.75">
      <c r="A6" s="5"/>
      <c r="B6" s="145" t="str">
        <f>+'Team Selection'!D6</f>
        <v>Anthony Lee</v>
      </c>
      <c r="C6" s="151" t="str">
        <f>VLOOKUP($B6&amp;"1",Data!$C:$G,2,FALSE)</f>
        <v>1 #1</v>
      </c>
      <c r="D6" s="13">
        <f>VLOOKUP($B6&amp;"1",Data!$C:$G,4,FALSE)</f>
        <v>0.007546296296296297</v>
      </c>
      <c r="E6" s="14">
        <f>VLOOKUP($B6&amp;"1",Data!$C:$G,5,FALSE)</f>
        <v>3</v>
      </c>
      <c r="F6" s="15">
        <f>+D6/E6</f>
        <v>0.002515432098765432</v>
      </c>
      <c r="H6" s="151">
        <f>VLOOKUP($B6&amp;"2",Data!$C:$G,2,FALSE)</f>
        <v>4</v>
      </c>
      <c r="I6" s="13">
        <f>VLOOKUP($B6&amp;"2",Data!$C:$G,4,FALSE)</f>
        <v>0.010462962962962964</v>
      </c>
      <c r="J6" s="14">
        <f>VLOOKUP($B6&amp;"2",Data!$C:$G,5,FALSE)</f>
        <v>4.2</v>
      </c>
      <c r="K6" s="15">
        <f>+I6/J6</f>
        <v>0.0024911816578483247</v>
      </c>
      <c r="M6" s="151">
        <f>VLOOKUP($B6&amp;"3",Data!$C:$G,2,FALSE)</f>
        <v>9</v>
      </c>
      <c r="N6" s="13">
        <f>VLOOKUP($B6&amp;"3",Data!$C:$G,4,FALSE)</f>
        <v>0.01017361111111111</v>
      </c>
      <c r="O6" s="14">
        <f>VLOOKUP($B6&amp;"3",Data!$C:$G,5,FALSE)</f>
        <v>3.6</v>
      </c>
      <c r="P6" s="15">
        <f>+N6/O6</f>
        <v>0.002826003086419753</v>
      </c>
      <c r="R6" s="151">
        <f>VLOOKUP($B6&amp;"4",Data!$C:$G,2,FALSE)</f>
        <v>12</v>
      </c>
      <c r="S6" s="13">
        <f>VLOOKUP($B6&amp;"4",Data!$C:$G,4,FALSE)</f>
        <v>0.010601851851851854</v>
      </c>
      <c r="T6" s="14">
        <f>VLOOKUP($B6&amp;"4",Data!$C:$G,5,FALSE)</f>
        <v>4</v>
      </c>
      <c r="U6" s="15">
        <f>+S6/T6</f>
        <v>0.0026504629629629634</v>
      </c>
      <c r="W6" s="155">
        <f>SUM(E6,J6,O6,T6)</f>
        <v>14.8</v>
      </c>
      <c r="X6" s="15">
        <f>SUM(D6,I6,N6,S6)/W6</f>
        <v>0.0026205893393393396</v>
      </c>
      <c r="Z6" s="2">
        <f>RANK(X6,X3:X7,1)</f>
        <v>5</v>
      </c>
    </row>
    <row r="7" spans="1:26" ht="12.75">
      <c r="A7" s="5"/>
      <c r="B7" s="145" t="str">
        <f>+'Team Selection'!D7</f>
        <v>Anthony Weiland</v>
      </c>
      <c r="C7" s="151" t="str">
        <f>VLOOKUP($B7&amp;"1",Data!$C:$G,2,FALSE)</f>
        <v>1 #1</v>
      </c>
      <c r="D7" s="13">
        <f>VLOOKUP($B7&amp;"1",Data!$C:$G,4,FALSE)</f>
        <v>0.0076157407407407415</v>
      </c>
      <c r="E7" s="14">
        <f>VLOOKUP($B7&amp;"1",Data!$C:$G,5,FALSE)</f>
        <v>3</v>
      </c>
      <c r="F7" s="15">
        <f>+D7/E7</f>
        <v>0.0025385802469135806</v>
      </c>
      <c r="H7" s="151">
        <f>VLOOKUP($B7&amp;"2",Data!$C:$G,2,FALSE)</f>
        <v>5</v>
      </c>
      <c r="I7" s="13">
        <f>VLOOKUP($B7&amp;"2",Data!$C:$G,4,FALSE)</f>
        <v>0.010983796296296297</v>
      </c>
      <c r="J7" s="14">
        <f>VLOOKUP($B7&amp;"2",Data!$C:$G,5,FALSE)</f>
        <v>4.7</v>
      </c>
      <c r="K7" s="15">
        <f>+I7/J7</f>
        <v>0.0023369779353821906</v>
      </c>
      <c r="M7" s="151">
        <f>VLOOKUP($B7&amp;"3",Data!$C:$G,2,FALSE)</f>
        <v>10</v>
      </c>
      <c r="N7" s="13">
        <f>VLOOKUP($B7&amp;"3",Data!$C:$G,4,FALSE)</f>
        <v>0.010868055555555556</v>
      </c>
      <c r="O7" s="14">
        <f>VLOOKUP($B7&amp;"3",Data!$C:$G,5,FALSE)</f>
        <v>4.45</v>
      </c>
      <c r="P7" s="15">
        <f>+N7/O7</f>
        <v>0.002442259675405743</v>
      </c>
      <c r="R7" s="151">
        <f>VLOOKUP($B7&amp;"4",Data!$C:$G,2,FALSE)</f>
        <v>13</v>
      </c>
      <c r="S7" s="13">
        <f>VLOOKUP($B7&amp;"4",Data!$C:$G,4,FALSE)</f>
        <v>0.011157407407407408</v>
      </c>
      <c r="T7" s="14">
        <f>VLOOKUP($B7&amp;"4",Data!$C:$G,5,FALSE)</f>
        <v>4.5</v>
      </c>
      <c r="U7" s="15">
        <f>+S7/T7</f>
        <v>0.0024794238683127573</v>
      </c>
      <c r="W7" s="155">
        <f>SUM(E7,J7,O7,T7)</f>
        <v>16.65</v>
      </c>
      <c r="X7" s="15">
        <f>SUM(D7,I7,N7,S7)/W7</f>
        <v>0.00243993993993994</v>
      </c>
      <c r="Z7" s="2">
        <f>RANK(X7,X3:X7,1)</f>
        <v>4</v>
      </c>
    </row>
    <row r="8" spans="1:24" s="7" customFormat="1" ht="12.75">
      <c r="A8" s="6"/>
      <c r="C8" s="6"/>
      <c r="D8" s="13"/>
      <c r="E8" s="14"/>
      <c r="F8" s="13"/>
      <c r="H8" s="6"/>
      <c r="I8" s="13"/>
      <c r="J8" s="14"/>
      <c r="K8" s="13"/>
      <c r="M8" s="6"/>
      <c r="N8" s="13"/>
      <c r="O8" s="14"/>
      <c r="P8" s="13"/>
      <c r="R8" s="6"/>
      <c r="S8" s="13"/>
      <c r="T8" s="14"/>
      <c r="U8" s="13"/>
      <c r="W8" s="14"/>
      <c r="X8" s="13"/>
    </row>
    <row r="9" spans="1:24" s="7" customFormat="1" ht="12.75">
      <c r="A9" s="6"/>
      <c r="C9" s="6"/>
      <c r="D9" s="13"/>
      <c r="E9" s="14"/>
      <c r="F9" s="13"/>
      <c r="H9" s="6"/>
      <c r="I9" s="13"/>
      <c r="J9" s="14"/>
      <c r="K9" s="13"/>
      <c r="M9" s="6"/>
      <c r="N9" s="13"/>
      <c r="O9" s="14"/>
      <c r="P9" s="13"/>
      <c r="R9" s="6"/>
      <c r="S9" s="13"/>
      <c r="T9" s="14"/>
      <c r="U9" s="13"/>
      <c r="W9" s="28" t="s">
        <v>39</v>
      </c>
      <c r="X9" s="27" t="s">
        <v>40</v>
      </c>
    </row>
    <row r="10" spans="1:24" ht="12.75">
      <c r="A10" s="9" t="s">
        <v>29</v>
      </c>
      <c r="B10" s="8"/>
      <c r="C10" s="12" t="s">
        <v>11</v>
      </c>
      <c r="D10" s="19" t="s">
        <v>7</v>
      </c>
      <c r="E10" s="21" t="s">
        <v>32</v>
      </c>
      <c r="F10" s="19" t="s">
        <v>8</v>
      </c>
      <c r="H10" s="12" t="s">
        <v>11</v>
      </c>
      <c r="I10" s="19" t="s">
        <v>7</v>
      </c>
      <c r="J10" s="21" t="s">
        <v>32</v>
      </c>
      <c r="K10" s="19" t="s">
        <v>8</v>
      </c>
      <c r="M10" s="12" t="s">
        <v>11</v>
      </c>
      <c r="N10" s="19" t="s">
        <v>7</v>
      </c>
      <c r="O10" s="21" t="s">
        <v>32</v>
      </c>
      <c r="P10" s="19" t="s">
        <v>8</v>
      </c>
      <c r="R10" s="12" t="s">
        <v>11</v>
      </c>
      <c r="S10" s="19" t="s">
        <v>7</v>
      </c>
      <c r="T10" s="21" t="s">
        <v>32</v>
      </c>
      <c r="U10" s="19" t="s">
        <v>8</v>
      </c>
      <c r="W10" s="24" t="s">
        <v>38</v>
      </c>
      <c r="X10" s="23" t="s">
        <v>8</v>
      </c>
    </row>
    <row r="11" spans="1:26" ht="12.75">
      <c r="A11" s="4"/>
      <c r="B11" s="136" t="str">
        <f>+'Team Selection'!F3</f>
        <v>Paul Marsh</v>
      </c>
      <c r="C11" s="147" t="str">
        <f>VLOOKUP($B11&amp;"1",Data!$C:$G,2,FALSE)</f>
        <v>1 #2</v>
      </c>
      <c r="D11" s="148">
        <f>VLOOKUP($B11&amp;"1",Data!$C:$G,4,FALSE)</f>
        <v>0.007997685185185186</v>
      </c>
      <c r="E11" s="149">
        <f>VLOOKUP($B11&amp;"1",Data!$C:$G,5,FALSE)</f>
        <v>3</v>
      </c>
      <c r="F11" s="150">
        <f>+D11/E11</f>
        <v>0.002665895061728395</v>
      </c>
      <c r="H11" s="147">
        <f>VLOOKUP($B11&amp;"2",Data!$C:$G,2,FALSE)</f>
        <v>4</v>
      </c>
      <c r="I11" s="148">
        <f>VLOOKUP($B11&amp;"2",Data!$C:$G,4,FALSE)</f>
        <v>0.011157407407407408</v>
      </c>
      <c r="J11" s="149">
        <f>VLOOKUP($B11&amp;"2",Data!$C:$G,5,FALSE)</f>
        <v>4.2</v>
      </c>
      <c r="K11" s="150">
        <f>+I11/J11</f>
        <v>0.0026565255731922396</v>
      </c>
      <c r="M11" s="147">
        <f>VLOOKUP($B11&amp;"3",Data!$C:$G,2,FALSE)</f>
        <v>10</v>
      </c>
      <c r="N11" s="148">
        <f>VLOOKUP($B11&amp;"3",Data!$C:$G,4,FALSE)</f>
        <v>0.011574074074074075</v>
      </c>
      <c r="O11" s="149">
        <f>VLOOKUP($B11&amp;"3",Data!$C:$G,5,FALSE)</f>
        <v>4.45</v>
      </c>
      <c r="P11" s="150">
        <f>+N11/O11</f>
        <v>0.002600915522263837</v>
      </c>
      <c r="R11" s="147">
        <f>VLOOKUP($B11&amp;"4",Data!$C:$G,2,FALSE)</f>
        <v>13</v>
      </c>
      <c r="S11" s="148">
        <f>VLOOKUP($B11&amp;"4",Data!$C:$G,4,FALSE)</f>
        <v>0.012233796296296296</v>
      </c>
      <c r="T11" s="149">
        <f>VLOOKUP($B11&amp;"4",Data!$C:$G,5,FALSE)</f>
        <v>4.5</v>
      </c>
      <c r="U11" s="150">
        <f>+S11/T11</f>
        <v>0.0027186213991769546</v>
      </c>
      <c r="W11" s="154">
        <f>SUM(E11,J11,O11,T11)</f>
        <v>16.15</v>
      </c>
      <c r="X11" s="150">
        <f>SUM(D11,I11,N11,S11)/W11</f>
        <v>0.0026602453847035896</v>
      </c>
      <c r="Z11" s="2">
        <f>RANK(X11,X11:X15,1)</f>
        <v>4</v>
      </c>
    </row>
    <row r="12" spans="1:26" ht="12.75">
      <c r="A12" s="5"/>
      <c r="B12" s="136" t="str">
        <f>+'Team Selection'!F4</f>
        <v>Matt Sandilands</v>
      </c>
      <c r="C12" s="151" t="str">
        <f>VLOOKUP($B12&amp;"1",Data!$C:$G,2,FALSE)</f>
        <v>1 #2</v>
      </c>
      <c r="D12" s="13">
        <f>VLOOKUP($B12&amp;"1",Data!$C:$G,4,FALSE)</f>
        <v>0.008206018518518519</v>
      </c>
      <c r="E12" s="14">
        <f>VLOOKUP($B12&amp;"1",Data!$C:$G,5,FALSE)</f>
        <v>3</v>
      </c>
      <c r="F12" s="15">
        <f>+D12/E12</f>
        <v>0.0027353395061728396</v>
      </c>
      <c r="H12" s="151">
        <f>VLOOKUP($B12&amp;"2",Data!$C:$G,2,FALSE)</f>
        <v>5</v>
      </c>
      <c r="I12" s="13">
        <f>VLOOKUP($B12&amp;"2",Data!$C:$G,4,FALSE)</f>
        <v>0.011539351851851851</v>
      </c>
      <c r="J12" s="14">
        <f>VLOOKUP($B12&amp;"2",Data!$C:$G,5,FALSE)</f>
        <v>4.7</v>
      </c>
      <c r="K12" s="15">
        <f>+I12/J12</f>
        <v>0.0024551812450748617</v>
      </c>
      <c r="M12" s="151">
        <f>VLOOKUP($B12&amp;"3",Data!$C:$G,2,FALSE)</f>
        <v>10</v>
      </c>
      <c r="N12" s="13">
        <f>VLOOKUP($B12&amp;"3",Data!$C:$G,4,FALSE)</f>
        <v>0.011967592592592592</v>
      </c>
      <c r="O12" s="14">
        <f>VLOOKUP($B12&amp;"3",Data!$C:$G,5,FALSE)</f>
        <v>4.45</v>
      </c>
      <c r="P12" s="15">
        <f>+N12/O12</f>
        <v>0.002689346650020807</v>
      </c>
      <c r="R12" s="151">
        <f>VLOOKUP($B12&amp;"4",Data!$C:$G,2,FALSE)</f>
        <v>14</v>
      </c>
      <c r="S12" s="13">
        <f>VLOOKUP($B12&amp;"4",Data!$C:$G,4,FALSE)</f>
        <v>0.008877314814814815</v>
      </c>
      <c r="T12" s="14">
        <f>VLOOKUP($B12&amp;"4",Data!$C:$G,5,FALSE)</f>
        <v>3.7</v>
      </c>
      <c r="U12" s="15">
        <f>+S12/T12</f>
        <v>0.002399274274274274</v>
      </c>
      <c r="W12" s="155">
        <f>SUM(E12,J12,O12,T12)</f>
        <v>15.850000000000001</v>
      </c>
      <c r="X12" s="15">
        <f>SUM(D12,I12,N12,S12)/W12</f>
        <v>0.002560900806168945</v>
      </c>
      <c r="Z12" s="2">
        <f>RANK(X12,X11:X15,1)</f>
        <v>2</v>
      </c>
    </row>
    <row r="13" spans="1:26" ht="12.75">
      <c r="A13" s="5"/>
      <c r="B13" s="136" t="str">
        <f>+'Team Selection'!F5</f>
        <v>Patrick O'Keefe</v>
      </c>
      <c r="C13" s="151" t="str">
        <f>VLOOKUP($B13&amp;"1",Data!$C:$G,2,FALSE)</f>
        <v>1 #2</v>
      </c>
      <c r="D13" s="13">
        <f>VLOOKUP($B13&amp;"1",Data!$C:$G,4,FALSE)</f>
        <v>0.007337962962962963</v>
      </c>
      <c r="E13" s="14">
        <f>VLOOKUP($B13&amp;"1",Data!$C:$G,5,FALSE)</f>
        <v>3</v>
      </c>
      <c r="F13" s="15">
        <f>+D13/E13</f>
        <v>0.0024459876543209877</v>
      </c>
      <c r="H13" s="151">
        <f>VLOOKUP($B13&amp;"2",Data!$C:$G,2,FALSE)</f>
        <v>4</v>
      </c>
      <c r="I13" s="13">
        <f>VLOOKUP($B13&amp;"2",Data!$C:$G,4,FALSE)</f>
        <v>0.010081018518518519</v>
      </c>
      <c r="J13" s="14">
        <f>VLOOKUP($B13&amp;"2",Data!$C:$G,5,FALSE)</f>
        <v>4.2</v>
      </c>
      <c r="K13" s="15">
        <f>+I13/J13</f>
        <v>0.002400242504409171</v>
      </c>
      <c r="M13" s="151">
        <f>VLOOKUP($B13&amp;"3",Data!$C:$G,2,FALSE)</f>
        <v>9</v>
      </c>
      <c r="N13" s="13">
        <f>VLOOKUP($B13&amp;"3",Data!$C:$G,4,FALSE)</f>
        <v>0.010011574074074074</v>
      </c>
      <c r="O13" s="14">
        <f>VLOOKUP($B13&amp;"3",Data!$C:$G,5,FALSE)</f>
        <v>3.6</v>
      </c>
      <c r="P13" s="15">
        <f>+N13/O13</f>
        <v>0.0027809927983539094</v>
      </c>
      <c r="R13" s="151">
        <f>VLOOKUP($B13&amp;"4",Data!$C:$G,2,FALSE)</f>
        <v>12</v>
      </c>
      <c r="S13" s="13">
        <f>VLOOKUP($B13&amp;"4",Data!$C:$G,4,FALSE)</f>
        <v>0.010659722222222221</v>
      </c>
      <c r="T13" s="14">
        <f>VLOOKUP($B13&amp;"4",Data!$C:$G,5,FALSE)</f>
        <v>4</v>
      </c>
      <c r="U13" s="15">
        <f>+S13/T13</f>
        <v>0.0026649305555555554</v>
      </c>
      <c r="W13" s="155">
        <f>SUM(E13,J13,O13,T13)</f>
        <v>14.8</v>
      </c>
      <c r="X13" s="15">
        <f>SUM(D13,I13,N13,S13)/W13</f>
        <v>0.0025736674174174174</v>
      </c>
      <c r="Z13" s="2">
        <f>RANK(X13,X11:X15,1)</f>
        <v>3</v>
      </c>
    </row>
    <row r="14" spans="1:26" ht="12.75">
      <c r="A14" s="5"/>
      <c r="B14" s="136" t="str">
        <f>+'Team Selection'!F6</f>
        <v>Troy Williams</v>
      </c>
      <c r="C14" s="151" t="str">
        <f>VLOOKUP($B14&amp;"1",Data!$C:$G,2,FALSE)</f>
        <v>1 #2</v>
      </c>
      <c r="D14" s="13">
        <f>VLOOKUP($B14&amp;"1",Data!$C:$G,4,FALSE)</f>
        <v>0.0072106481481481475</v>
      </c>
      <c r="E14" s="14">
        <f>VLOOKUP($B14&amp;"1",Data!$C:$G,5,FALSE)</f>
        <v>3</v>
      </c>
      <c r="F14" s="15">
        <f>+D14/E14</f>
        <v>0.002403549382716049</v>
      </c>
      <c r="H14" s="151">
        <f>VLOOKUP($B14&amp;"2",Data!$C:$G,2,FALSE)</f>
        <v>5</v>
      </c>
      <c r="I14" s="13">
        <f>VLOOKUP($B14&amp;"2",Data!$C:$G,4,FALSE)</f>
        <v>0.010162037037037037</v>
      </c>
      <c r="J14" s="14">
        <f>VLOOKUP($B14&amp;"2",Data!$C:$G,5,FALSE)</f>
        <v>4.7</v>
      </c>
      <c r="K14" s="15">
        <f>+I14/J14</f>
        <v>0.0021621355397951143</v>
      </c>
      <c r="M14" s="151">
        <f>VLOOKUP($B14&amp;"3",Data!$C:$G,2,FALSE)</f>
        <v>10</v>
      </c>
      <c r="N14" s="13">
        <f>VLOOKUP($B14&amp;"3",Data!$C:$G,4,FALSE)</f>
        <v>0.01005787037037037</v>
      </c>
      <c r="O14" s="14">
        <f>VLOOKUP($B14&amp;"3",Data!$C:$G,5,FALSE)</f>
        <v>4.45</v>
      </c>
      <c r="P14" s="15">
        <f>+N14/O14</f>
        <v>0.002260195588847274</v>
      </c>
      <c r="R14" s="151">
        <f>VLOOKUP($B14&amp;"4",Data!$C:$G,2,FALSE)</f>
        <v>13</v>
      </c>
      <c r="S14" s="13">
        <f>VLOOKUP($B14&amp;"4",Data!$C:$G,4,FALSE)</f>
        <v>0.010335648148148148</v>
      </c>
      <c r="T14" s="14">
        <f>VLOOKUP($B14&amp;"4",Data!$C:$G,5,FALSE)</f>
        <v>4.5</v>
      </c>
      <c r="U14" s="15">
        <f>+S14/T14</f>
        <v>0.0022968106995884773</v>
      </c>
      <c r="W14" s="155">
        <f>SUM(E14,J14,O14,T14)</f>
        <v>16.65</v>
      </c>
      <c r="X14" s="15">
        <f>SUM(D14,I14,N14,S14)/W14</f>
        <v>0.0022682404626849072</v>
      </c>
      <c r="Z14" s="2">
        <f>RANK(X14,X11:X15,1)</f>
        <v>1</v>
      </c>
    </row>
    <row r="15" spans="1:26" ht="12.75">
      <c r="A15" s="5"/>
      <c r="B15" s="136" t="str">
        <f>+'Team Selection'!F7</f>
        <v>Anthony Mithen</v>
      </c>
      <c r="C15" s="151" t="str">
        <f>VLOOKUP($B15&amp;"1",Data!$C:$G,2,FALSE)</f>
        <v>1 #2</v>
      </c>
      <c r="D15" s="13">
        <f>VLOOKUP($B15&amp;"1",Data!$C:$G,4,FALSE)</f>
        <v>0.007569444444444445</v>
      </c>
      <c r="E15" s="14">
        <f>VLOOKUP($B15&amp;"1",Data!$C:$G,5,FALSE)</f>
        <v>3</v>
      </c>
      <c r="F15" s="15">
        <f>+D15/E15</f>
        <v>0.002523148148148148</v>
      </c>
      <c r="H15" s="151">
        <f>VLOOKUP($B15&amp;"2",Data!$C:$G,2,FALSE)</f>
        <v>4</v>
      </c>
      <c r="I15" s="13">
        <f>VLOOKUP($B15&amp;"2",Data!$C:$G,4,FALSE)</f>
        <v>0.010393518518518519</v>
      </c>
      <c r="J15" s="14">
        <f>VLOOKUP($B15&amp;"2",Data!$C:$G,5,FALSE)</f>
        <v>4.2</v>
      </c>
      <c r="K15" s="15">
        <f>+I15/J15</f>
        <v>0.002474647266313933</v>
      </c>
      <c r="M15" s="151">
        <f>VLOOKUP($B15&amp;"3",Data!$C:$G,2,FALSE)</f>
        <v>9</v>
      </c>
      <c r="N15" s="13">
        <f>VLOOKUP($B15&amp;"3",Data!$C:$G,4,FALSE)</f>
        <v>0.010949074074074075</v>
      </c>
      <c r="O15" s="14">
        <f>VLOOKUP($B15&amp;"3",Data!$C:$G,5,FALSE)</f>
        <v>3.6</v>
      </c>
      <c r="P15" s="15">
        <f>+N15/O15</f>
        <v>0.003041409465020576</v>
      </c>
      <c r="R15" s="151">
        <f>VLOOKUP($B15&amp;"4",Data!$C:$G,2,FALSE)</f>
        <v>12</v>
      </c>
      <c r="S15" s="13">
        <f>VLOOKUP($B15&amp;"4",Data!$C:$G,4,FALSE)</f>
        <v>0.012083333333333333</v>
      </c>
      <c r="T15" s="14">
        <f>VLOOKUP($B15&amp;"4",Data!$C:$G,5,FALSE)</f>
        <v>4</v>
      </c>
      <c r="U15" s="15">
        <f>+S15/T15</f>
        <v>0.0030208333333333333</v>
      </c>
      <c r="W15" s="155">
        <f>SUM(E15,J15,O15,T15)</f>
        <v>14.8</v>
      </c>
      <c r="X15" s="15">
        <f>SUM(D15,I15,N15,S15)/W15</f>
        <v>0.0027699574574574577</v>
      </c>
      <c r="Z15" s="2">
        <f>RANK(X15,X11:X15,1)</f>
        <v>5</v>
      </c>
    </row>
    <row r="16" spans="1:24" ht="12.75">
      <c r="A16" s="6"/>
      <c r="B16" s="7"/>
      <c r="C16" s="6"/>
      <c r="D16" s="13"/>
      <c r="E16" s="14"/>
      <c r="F16" s="13"/>
      <c r="G16" s="7"/>
      <c r="H16" s="6"/>
      <c r="I16" s="13"/>
      <c r="J16" s="14"/>
      <c r="K16" s="13"/>
      <c r="L16" s="7"/>
      <c r="M16" s="6"/>
      <c r="N16" s="13"/>
      <c r="O16" s="14"/>
      <c r="P16" s="13"/>
      <c r="Q16" s="7"/>
      <c r="R16" s="6"/>
      <c r="S16" s="13"/>
      <c r="T16" s="14"/>
      <c r="U16" s="13"/>
      <c r="X16" s="13"/>
    </row>
    <row r="17" spans="1:24" ht="12.75">
      <c r="A17" s="6"/>
      <c r="B17" s="7"/>
      <c r="C17" s="6"/>
      <c r="D17" s="13"/>
      <c r="E17" s="14"/>
      <c r="F17" s="13"/>
      <c r="G17" s="7"/>
      <c r="H17" s="6"/>
      <c r="I17" s="13"/>
      <c r="J17" s="14"/>
      <c r="K17" s="13"/>
      <c r="L17" s="7"/>
      <c r="M17" s="6"/>
      <c r="N17" s="13"/>
      <c r="O17" s="14"/>
      <c r="P17" s="13"/>
      <c r="Q17" s="7"/>
      <c r="R17" s="6"/>
      <c r="S17" s="13"/>
      <c r="T17" s="14"/>
      <c r="U17" s="13"/>
      <c r="W17" s="28" t="s">
        <v>39</v>
      </c>
      <c r="X17" s="27" t="s">
        <v>40</v>
      </c>
    </row>
    <row r="18" spans="1:24" ht="12.75">
      <c r="A18" s="9" t="s">
        <v>30</v>
      </c>
      <c r="B18" s="8"/>
      <c r="C18" s="12" t="s">
        <v>11</v>
      </c>
      <c r="D18" s="19" t="s">
        <v>7</v>
      </c>
      <c r="E18" s="21" t="s">
        <v>32</v>
      </c>
      <c r="F18" s="19" t="s">
        <v>8</v>
      </c>
      <c r="H18" s="12" t="s">
        <v>11</v>
      </c>
      <c r="I18" s="19" t="s">
        <v>7</v>
      </c>
      <c r="J18" s="21" t="s">
        <v>32</v>
      </c>
      <c r="K18" s="19" t="s">
        <v>8</v>
      </c>
      <c r="M18" s="12" t="s">
        <v>11</v>
      </c>
      <c r="N18" s="19" t="s">
        <v>7</v>
      </c>
      <c r="O18" s="21" t="s">
        <v>32</v>
      </c>
      <c r="P18" s="19" t="s">
        <v>8</v>
      </c>
      <c r="R18" s="12" t="s">
        <v>11</v>
      </c>
      <c r="S18" s="19" t="s">
        <v>7</v>
      </c>
      <c r="T18" s="21" t="s">
        <v>32</v>
      </c>
      <c r="U18" s="19" t="s">
        <v>8</v>
      </c>
      <c r="W18" s="24" t="s">
        <v>38</v>
      </c>
      <c r="X18" s="23" t="s">
        <v>8</v>
      </c>
    </row>
    <row r="19" spans="1:26" ht="12.75">
      <c r="A19" s="4"/>
      <c r="B19" s="136" t="str">
        <f>+'Team Selection'!H3</f>
        <v>Glenn Goodman</v>
      </c>
      <c r="C19" s="147">
        <f>VLOOKUP($B19&amp;"1",Data!$C:$G,2,FALSE)</f>
        <v>3</v>
      </c>
      <c r="D19" s="148">
        <f>VLOOKUP($B19&amp;"1",Data!$C:$G,4,FALSE)</f>
        <v>0.011273148148148148</v>
      </c>
      <c r="E19" s="149">
        <f>VLOOKUP($B19&amp;"1",Data!$C:$G,5,FALSE)</f>
        <v>3.9</v>
      </c>
      <c r="F19" s="150">
        <f>+D19/E19</f>
        <v>0.002890550807217474</v>
      </c>
      <c r="H19" s="147">
        <f>VLOOKUP($B19&amp;"2",Data!$C:$G,2,FALSE)</f>
        <v>7</v>
      </c>
      <c r="I19" s="148">
        <f>VLOOKUP($B19&amp;"2",Data!$C:$G,4,FALSE)</f>
        <v>0.009745370370370371</v>
      </c>
      <c r="J19" s="149">
        <f>VLOOKUP($B19&amp;"2",Data!$C:$G,5,FALSE)</f>
        <v>3.7</v>
      </c>
      <c r="K19" s="150">
        <f>+I19/J19</f>
        <v>0.002633883883883884</v>
      </c>
      <c r="M19" s="147" t="str">
        <f>VLOOKUP($B19&amp;"3",Data!$C:$G,2,FALSE)</f>
        <v>8 #1</v>
      </c>
      <c r="N19" s="148">
        <f>VLOOKUP($B19&amp;"3",Data!$C:$G,4,FALSE)</f>
        <v>0.008206018518518519</v>
      </c>
      <c r="O19" s="149">
        <f>VLOOKUP($B19&amp;"3",Data!$C:$G,5,FALSE)</f>
        <v>3</v>
      </c>
      <c r="P19" s="150">
        <f>+N19/O19</f>
        <v>0.0027353395061728396</v>
      </c>
      <c r="R19" s="147">
        <f>VLOOKUP($B19&amp;"4",Data!$C:$G,2,FALSE)</f>
        <v>11</v>
      </c>
      <c r="S19" s="148">
        <f>VLOOKUP($B19&amp;"4",Data!$C:$G,4,FALSE)</f>
        <v>0.010381944444444444</v>
      </c>
      <c r="T19" s="149">
        <f>VLOOKUP($B19&amp;"4",Data!$C:$G,5,FALSE)</f>
        <v>4</v>
      </c>
      <c r="U19" s="150">
        <f>+S19/T19</f>
        <v>0.002595486111111111</v>
      </c>
      <c r="W19" s="154">
        <f>SUM(E19,J19,O19,T19)</f>
        <v>14.6</v>
      </c>
      <c r="X19" s="150">
        <f>SUM(D19,I19,N19,S19)/W19</f>
        <v>0.00271277270421106</v>
      </c>
      <c r="Z19" s="2">
        <f>RANK(X19,X19:X23,1)</f>
        <v>3</v>
      </c>
    </row>
    <row r="20" spans="1:26" ht="12.75">
      <c r="A20" s="5"/>
      <c r="B20" s="136" t="str">
        <f>+'Team Selection'!H4</f>
        <v>Craig Harris</v>
      </c>
      <c r="C20" s="151">
        <f>VLOOKUP($B20&amp;"1",Data!$C:$G,2,FALSE)</f>
        <v>3</v>
      </c>
      <c r="D20" s="13">
        <f>VLOOKUP($B20&amp;"1",Data!$C:$G,4,FALSE)</f>
        <v>0.011006944444444444</v>
      </c>
      <c r="E20" s="14">
        <f>VLOOKUP($B20&amp;"1",Data!$C:$G,5,FALSE)</f>
        <v>3.9</v>
      </c>
      <c r="F20" s="15">
        <f>+D20/E20</f>
        <v>0.002822293447293447</v>
      </c>
      <c r="H20" s="151">
        <f>VLOOKUP($B20&amp;"2",Data!$C:$G,2,FALSE)</f>
        <v>7</v>
      </c>
      <c r="I20" s="13">
        <f>VLOOKUP($B20&amp;"2",Data!$C:$G,4,FALSE)</f>
        <v>0.00962962962962963</v>
      </c>
      <c r="J20" s="14">
        <f>VLOOKUP($B20&amp;"2",Data!$C:$G,5,FALSE)</f>
        <v>3.7</v>
      </c>
      <c r="K20" s="15">
        <f>+I20/J20</f>
        <v>0.0026026026026026027</v>
      </c>
      <c r="M20" s="151" t="str">
        <f>VLOOKUP($B20&amp;"3",Data!$C:$G,2,FALSE)</f>
        <v>8 #1</v>
      </c>
      <c r="N20" s="13">
        <f>VLOOKUP($B20&amp;"3",Data!$C:$G,4,FALSE)</f>
        <v>0.008275462962962962</v>
      </c>
      <c r="O20" s="14">
        <f>VLOOKUP($B20&amp;"3",Data!$C:$G,5,FALSE)</f>
        <v>3</v>
      </c>
      <c r="P20" s="15">
        <f>+N20/O20</f>
        <v>0.002758487654320987</v>
      </c>
      <c r="R20" s="151">
        <f>VLOOKUP($B20&amp;"4",Data!$C:$G,2,FALSE)</f>
        <v>11</v>
      </c>
      <c r="S20" s="13">
        <f>VLOOKUP($B20&amp;"4",Data!$C:$G,4,FALSE)</f>
        <v>0.010138888888888888</v>
      </c>
      <c r="T20" s="14">
        <f>VLOOKUP($B20&amp;"4",Data!$C:$G,5,FALSE)</f>
        <v>4</v>
      </c>
      <c r="U20" s="15">
        <f>+S20/T20</f>
        <v>0.002534722222222222</v>
      </c>
      <c r="W20" s="155">
        <f>SUM(E20,J20,O20,T20)</f>
        <v>14.6</v>
      </c>
      <c r="X20" s="15">
        <f>SUM(D20,I20,N20,S20)/W20</f>
        <v>0.0026747209538305425</v>
      </c>
      <c r="Z20" s="2">
        <f>RANK(X20,X19:X23,1)</f>
        <v>1</v>
      </c>
    </row>
    <row r="21" spans="1:26" ht="12.75">
      <c r="A21" s="5"/>
      <c r="B21" s="136" t="str">
        <f>+'Team Selection'!H5</f>
        <v>Gary O'Dwyer</v>
      </c>
      <c r="C21" s="151">
        <f>VLOOKUP($B21&amp;"1",Data!$C:$G,2,FALSE)</f>
        <v>3</v>
      </c>
      <c r="D21" s="13">
        <f>VLOOKUP($B21&amp;"1",Data!$C:$G,4,FALSE)</f>
        <v>0.011423611111111112</v>
      </c>
      <c r="E21" s="14">
        <f>VLOOKUP($B21&amp;"1",Data!$C:$G,5,FALSE)</f>
        <v>3.9</v>
      </c>
      <c r="F21" s="15">
        <f>+D21/E21</f>
        <v>0.0029291310541310544</v>
      </c>
      <c r="H21" s="151">
        <f>VLOOKUP($B21&amp;"2",Data!$C:$G,2,FALSE)</f>
        <v>7</v>
      </c>
      <c r="I21" s="13">
        <f>VLOOKUP($B21&amp;"2",Data!$C:$G,4,FALSE)</f>
        <v>0.009791666666666666</v>
      </c>
      <c r="J21" s="14">
        <f>VLOOKUP($B21&amp;"2",Data!$C:$G,5,FALSE)</f>
        <v>3.7</v>
      </c>
      <c r="K21" s="15">
        <f>+I21/J21</f>
        <v>0.002646396396396396</v>
      </c>
      <c r="M21" s="151" t="str">
        <f>VLOOKUP($B21&amp;"3",Data!$C:$G,2,FALSE)</f>
        <v>8 #1</v>
      </c>
      <c r="N21" s="13">
        <f>VLOOKUP($B21&amp;"3",Data!$C:$G,4,FALSE)</f>
        <v>0.00875</v>
      </c>
      <c r="O21" s="14">
        <f>VLOOKUP($B21&amp;"3",Data!$C:$G,5,FALSE)</f>
        <v>3</v>
      </c>
      <c r="P21" s="15">
        <f>+N21/O21</f>
        <v>0.002916666666666667</v>
      </c>
      <c r="R21" s="151">
        <f>VLOOKUP($B21&amp;"4",Data!$C:$G,2,FALSE)</f>
        <v>11</v>
      </c>
      <c r="S21" s="13">
        <f>VLOOKUP($B21&amp;"4",Data!$C:$G,4,FALSE)</f>
        <v>0.010289351851851852</v>
      </c>
      <c r="T21" s="14">
        <f>VLOOKUP($B21&amp;"4",Data!$C:$G,5,FALSE)</f>
        <v>4</v>
      </c>
      <c r="U21" s="15">
        <f>+S21/T21</f>
        <v>0.002572337962962963</v>
      </c>
      <c r="W21" s="155">
        <f>SUM(E21,J21,O21,T21)</f>
        <v>14.6</v>
      </c>
      <c r="X21" s="15">
        <f>SUM(D21,I21,N21,S21)/W21</f>
        <v>0.0027571664129883307</v>
      </c>
      <c r="Z21" s="2">
        <f>RANK(X21,X19:X23,1)</f>
        <v>4</v>
      </c>
    </row>
    <row r="22" spans="1:26" ht="12.75">
      <c r="A22" s="5"/>
      <c r="B22" s="136" t="str">
        <f>+'Team Selection'!H6</f>
        <v>Luke Grima</v>
      </c>
      <c r="C22" s="151">
        <f>VLOOKUP($B22&amp;"1",Data!$C:$G,2,FALSE)</f>
        <v>2</v>
      </c>
      <c r="D22" s="13">
        <f>VLOOKUP($B22&amp;"1",Data!$C:$G,4,FALSE)</f>
        <v>0.01019675925925926</v>
      </c>
      <c r="E22" s="14">
        <f>VLOOKUP($B22&amp;"1",Data!$C:$G,5,FALSE)</f>
        <v>3.6</v>
      </c>
      <c r="F22" s="15">
        <f>+D22/E22</f>
        <v>0.0028324331275720164</v>
      </c>
      <c r="H22" s="151">
        <f>VLOOKUP($B22&amp;"2",Data!$C:$G,2,FALSE)</f>
        <v>6</v>
      </c>
      <c r="I22" s="13">
        <f>VLOOKUP($B22&amp;"2",Data!$C:$G,4,FALSE)</f>
        <v>0.00863425925925926</v>
      </c>
      <c r="J22" s="14">
        <f>VLOOKUP($B22&amp;"2",Data!$C:$G,5,FALSE)</f>
        <v>3.25</v>
      </c>
      <c r="K22" s="15">
        <f>+I22/J22</f>
        <v>0.002656695156695157</v>
      </c>
      <c r="M22" s="151" t="str">
        <f>VLOOKUP($B22&amp;"3",Data!$C:$G,2,FALSE)</f>
        <v>8 #1</v>
      </c>
      <c r="N22" s="13">
        <f>VLOOKUP($B22&amp;"3",Data!$C:$G,4,FALSE)</f>
        <v>0.00832175925925926</v>
      </c>
      <c r="O22" s="14">
        <f>VLOOKUP($B22&amp;"3",Data!$C:$G,5,FALSE)</f>
        <v>3</v>
      </c>
      <c r="P22" s="15">
        <f>+N22/O22</f>
        <v>0.0027739197530864197</v>
      </c>
      <c r="R22" s="151">
        <f>VLOOKUP($B22&amp;"4",Data!$C:$G,2,FALSE)</f>
        <v>11</v>
      </c>
      <c r="S22" s="13">
        <f>VLOOKUP($B22&amp;"4",Data!$C:$G,4,FALSE)</f>
        <v>0.010219907407407408</v>
      </c>
      <c r="T22" s="14">
        <f>VLOOKUP($B22&amp;"4",Data!$C:$G,5,FALSE)</f>
        <v>4</v>
      </c>
      <c r="U22" s="15">
        <f>+S22/T22</f>
        <v>0.002554976851851852</v>
      </c>
      <c r="W22" s="155">
        <f>SUM(E22,J22,O22,T22)</f>
        <v>13.85</v>
      </c>
      <c r="X22" s="15">
        <f>SUM(D22,I22,N22,S22)/W22</f>
        <v>0.002698388822035031</v>
      </c>
      <c r="Z22" s="2">
        <f>RANK(X22,X19:X23,1)</f>
        <v>2</v>
      </c>
    </row>
    <row r="23" spans="1:26" ht="12.75">
      <c r="A23" s="5"/>
      <c r="B23" s="136" t="str">
        <f>+'Team Selection'!H7</f>
        <v>Chris Osborne</v>
      </c>
      <c r="C23" s="151">
        <f>VLOOKUP($B23&amp;"1",Data!$C:$G,2,FALSE)</f>
        <v>3</v>
      </c>
      <c r="D23" s="13">
        <f>VLOOKUP($B23&amp;"1",Data!$C:$G,4,FALSE)</f>
        <v>0.011620370370370371</v>
      </c>
      <c r="E23" s="14">
        <f>VLOOKUP($B23&amp;"1",Data!$C:$G,5,FALSE)</f>
        <v>3.9</v>
      </c>
      <c r="F23" s="15">
        <f>+D23/E23</f>
        <v>0.002979582146248813</v>
      </c>
      <c r="H23" s="151">
        <f>VLOOKUP($B23&amp;"2",Data!$C:$G,2,FALSE)</f>
        <v>7</v>
      </c>
      <c r="I23" s="13">
        <f>VLOOKUP($B23&amp;"2",Data!$C:$G,4,FALSE)</f>
        <v>0.010335648148148148</v>
      </c>
      <c r="J23" s="14">
        <f>VLOOKUP($B23&amp;"2",Data!$C:$G,5,FALSE)</f>
        <v>3.7</v>
      </c>
      <c r="K23" s="15">
        <f>+I23/J23</f>
        <v>0.002793418418418418</v>
      </c>
      <c r="M23" s="151" t="str">
        <f>VLOOKUP($B23&amp;"3",Data!$C:$G,2,FALSE)</f>
        <v>8 #1</v>
      </c>
      <c r="N23" s="13">
        <f>VLOOKUP($B23&amp;"3",Data!$C:$G,4,FALSE)</f>
        <v>0.008657407407407407</v>
      </c>
      <c r="O23" s="14">
        <f>VLOOKUP($B23&amp;"3",Data!$C:$G,5,FALSE)</f>
        <v>3</v>
      </c>
      <c r="P23" s="15">
        <f>+N23/O23</f>
        <v>0.0028858024691358025</v>
      </c>
      <c r="R23" s="151">
        <f>VLOOKUP($B23&amp;"4",Data!$C:$G,2,FALSE)</f>
        <v>11</v>
      </c>
      <c r="S23" s="13">
        <f>VLOOKUP($B23&amp;"4",Data!$C:$G,4,FALSE)</f>
        <v>0.010949074074074075</v>
      </c>
      <c r="T23" s="14">
        <f>VLOOKUP($B23&amp;"4",Data!$C:$G,5,FALSE)</f>
        <v>4</v>
      </c>
      <c r="U23" s="15">
        <f>+S23/T23</f>
        <v>0.0027372685185185187</v>
      </c>
      <c r="W23" s="155">
        <f>SUM(E23,J23,O23,T23)</f>
        <v>14.6</v>
      </c>
      <c r="X23" s="15">
        <f>SUM(D23,I23,N23,S23)/W23</f>
        <v>0.0028467465753424658</v>
      </c>
      <c r="Z23" s="2">
        <f>RANK(X23,X19:X23,1)</f>
        <v>5</v>
      </c>
    </row>
    <row r="24" spans="1:24" ht="12.75">
      <c r="A24" s="6"/>
      <c r="B24" s="7"/>
      <c r="C24" s="6"/>
      <c r="D24" s="13"/>
      <c r="E24" s="14"/>
      <c r="F24" s="13"/>
      <c r="G24" s="7"/>
      <c r="H24" s="6"/>
      <c r="I24" s="13"/>
      <c r="J24" s="14"/>
      <c r="K24" s="13"/>
      <c r="L24" s="7"/>
      <c r="M24" s="6"/>
      <c r="N24" s="13"/>
      <c r="O24" s="14"/>
      <c r="P24" s="13"/>
      <c r="Q24" s="7"/>
      <c r="R24" s="6"/>
      <c r="S24" s="13"/>
      <c r="T24" s="14"/>
      <c r="U24" s="13"/>
      <c r="V24" s="7"/>
      <c r="X24" s="13"/>
    </row>
    <row r="25" spans="1:24" ht="12.75">
      <c r="A25" s="6"/>
      <c r="B25" s="7"/>
      <c r="C25" s="6"/>
      <c r="D25" s="13"/>
      <c r="E25" s="14"/>
      <c r="F25" s="13"/>
      <c r="G25" s="7"/>
      <c r="H25" s="6"/>
      <c r="I25" s="13"/>
      <c r="J25" s="14"/>
      <c r="K25" s="13"/>
      <c r="L25" s="7"/>
      <c r="M25" s="6"/>
      <c r="N25" s="13"/>
      <c r="O25" s="14"/>
      <c r="P25" s="13"/>
      <c r="Q25" s="7"/>
      <c r="R25" s="6"/>
      <c r="S25" s="13"/>
      <c r="T25" s="14"/>
      <c r="U25" s="13"/>
      <c r="V25" s="7"/>
      <c r="W25" s="28" t="s">
        <v>39</v>
      </c>
      <c r="X25" s="27" t="s">
        <v>40</v>
      </c>
    </row>
    <row r="26" spans="1:24" ht="12.75">
      <c r="A26" s="9"/>
      <c r="B26" s="137" t="s">
        <v>31</v>
      </c>
      <c r="C26" s="12" t="s">
        <v>11</v>
      </c>
      <c r="D26" s="19" t="s">
        <v>7</v>
      </c>
      <c r="E26" s="21" t="s">
        <v>32</v>
      </c>
      <c r="F26" s="19" t="s">
        <v>8</v>
      </c>
      <c r="H26" s="12" t="s">
        <v>11</v>
      </c>
      <c r="I26" s="19" t="s">
        <v>7</v>
      </c>
      <c r="J26" s="21" t="s">
        <v>32</v>
      </c>
      <c r="K26" s="19" t="s">
        <v>8</v>
      </c>
      <c r="M26" s="12" t="s">
        <v>11</v>
      </c>
      <c r="N26" s="19" t="s">
        <v>7</v>
      </c>
      <c r="O26" s="21" t="s">
        <v>32</v>
      </c>
      <c r="P26" s="19" t="s">
        <v>8</v>
      </c>
      <c r="R26" s="12" t="s">
        <v>11</v>
      </c>
      <c r="S26" s="19" t="s">
        <v>7</v>
      </c>
      <c r="T26" s="21" t="s">
        <v>32</v>
      </c>
      <c r="U26" s="19" t="s">
        <v>8</v>
      </c>
      <c r="W26" s="24" t="s">
        <v>38</v>
      </c>
      <c r="X26" s="23" t="s">
        <v>8</v>
      </c>
    </row>
    <row r="27" spans="1:26" ht="12.75">
      <c r="A27" s="4"/>
      <c r="B27" s="136" t="str">
        <f>+'Team Selection'!J3</f>
        <v>Jim Grelis</v>
      </c>
      <c r="C27" s="147">
        <f>VLOOKUP($B27&amp;"1",Data!$C:$G,2,FALSE)</f>
        <v>2</v>
      </c>
      <c r="D27" s="148">
        <f>VLOOKUP($B27&amp;"1",Data!$C:$G,4,FALSE)</f>
        <v>0.01076388888888889</v>
      </c>
      <c r="E27" s="149">
        <f>VLOOKUP($B27&amp;"1",Data!$C:$G,5,FALSE)</f>
        <v>3.6</v>
      </c>
      <c r="F27" s="150">
        <f>+D27/E27</f>
        <v>0.0029899691358024694</v>
      </c>
      <c r="H27" s="147">
        <f>VLOOKUP($B27&amp;"2",Data!$C:$G,2,FALSE)</f>
        <v>6</v>
      </c>
      <c r="I27" s="148">
        <f>VLOOKUP($B27&amp;"2",Data!$C:$G,4,FALSE)</f>
        <v>0.009849537037037037</v>
      </c>
      <c r="J27" s="149">
        <f>VLOOKUP($B27&amp;"2",Data!$C:$G,5,FALSE)</f>
        <v>3.25</v>
      </c>
      <c r="K27" s="150">
        <f>+I27/J27</f>
        <v>0.0030306267806267805</v>
      </c>
      <c r="M27" s="147" t="str">
        <f>VLOOKUP($B27&amp;"3",Data!$C:$G,2,FALSE)</f>
        <v>8 #2</v>
      </c>
      <c r="N27" s="148">
        <f>VLOOKUP($B27&amp;"3",Data!$C:$G,4,FALSE)</f>
        <v>0.009351851851851853</v>
      </c>
      <c r="O27" s="149">
        <f>VLOOKUP($B27&amp;"3",Data!$C:$G,5,FALSE)</f>
        <v>3</v>
      </c>
      <c r="P27" s="150">
        <f>+N27/O27</f>
        <v>0.0031172839506172843</v>
      </c>
      <c r="R27" s="147">
        <f>VLOOKUP($B27&amp;"4",Data!$C:$G,2,FALSE)</f>
        <v>14</v>
      </c>
      <c r="S27" s="148">
        <f>VLOOKUP($B27&amp;"4",Data!$C:$G,4,FALSE)</f>
        <v>0.010208333333333333</v>
      </c>
      <c r="T27" s="149">
        <f>VLOOKUP($B27&amp;"4",Data!$C:$G,5,FALSE)</f>
        <v>3.7</v>
      </c>
      <c r="U27" s="150">
        <f>+S27/T27</f>
        <v>0.002759009009009009</v>
      </c>
      <c r="W27" s="154">
        <f>SUM(E27,J27,O27,T27)</f>
        <v>13.55</v>
      </c>
      <c r="X27" s="150">
        <f>SUM(D27,I27,N27,S27)/W27</f>
        <v>0.002964842148421484</v>
      </c>
      <c r="Z27" s="2">
        <f>RANK(X27,X27:X31,1)</f>
        <v>4</v>
      </c>
    </row>
    <row r="28" spans="1:26" ht="12.75">
      <c r="A28" s="5"/>
      <c r="B28" s="136" t="str">
        <f>+'Team Selection'!J4</f>
        <v>Col Marson</v>
      </c>
      <c r="C28" s="151">
        <f>VLOOKUP($B28&amp;"1",Data!$C:$G,2,FALSE)</f>
        <v>2</v>
      </c>
      <c r="D28" s="13">
        <f>VLOOKUP($B28&amp;"1",Data!$C:$G,4,FALSE)</f>
        <v>0.010231481481481482</v>
      </c>
      <c r="E28" s="14">
        <f>VLOOKUP($B28&amp;"1",Data!$C:$G,5,FALSE)</f>
        <v>3.6</v>
      </c>
      <c r="F28" s="15">
        <f>+D28/E28</f>
        <v>0.0028420781893004118</v>
      </c>
      <c r="H28" s="151">
        <f>VLOOKUP($B28&amp;"2",Data!$C:$G,2,FALSE)</f>
        <v>6</v>
      </c>
      <c r="I28" s="13">
        <f>VLOOKUP($B28&amp;"2",Data!$C:$G,4,FALSE)</f>
        <v>0.009212962962962963</v>
      </c>
      <c r="J28" s="14">
        <f>VLOOKUP($B28&amp;"2",Data!$C:$G,5,FALSE)</f>
        <v>3.25</v>
      </c>
      <c r="K28" s="15">
        <f>+I28/J28</f>
        <v>0.0028347578347578347</v>
      </c>
      <c r="M28" s="151" t="str">
        <f>VLOOKUP($B28&amp;"3",Data!$C:$G,2,FALSE)</f>
        <v>8 #2</v>
      </c>
      <c r="N28" s="13">
        <f>VLOOKUP($B28&amp;"3",Data!$C:$G,4,FALSE)</f>
        <v>0.008796296296296297</v>
      </c>
      <c r="O28" s="14">
        <f>VLOOKUP($B28&amp;"3",Data!$C:$G,5,FALSE)</f>
        <v>3</v>
      </c>
      <c r="P28" s="15">
        <f>+N28/O28</f>
        <v>0.002932098765432099</v>
      </c>
      <c r="R28" s="151">
        <f>VLOOKUP($B28&amp;"4",Data!$C:$G,2,FALSE)</f>
        <v>12</v>
      </c>
      <c r="S28" s="13">
        <f>VLOOKUP($B28&amp;"4",Data!$C:$G,4,FALSE)</f>
        <v>0.012847222222222223</v>
      </c>
      <c r="T28" s="14">
        <f>VLOOKUP($B28&amp;"4",Data!$C:$G,5,FALSE)</f>
        <v>4</v>
      </c>
      <c r="U28" s="15">
        <f>+S28/T28</f>
        <v>0.003211805555555556</v>
      </c>
      <c r="W28" s="155">
        <f>SUM(E28,J28,O28,T28)</f>
        <v>13.85</v>
      </c>
      <c r="X28" s="15">
        <f>SUM(D28,I28,N28,S28)/W28</f>
        <v>0.00296663992512368</v>
      </c>
      <c r="Z28" s="2">
        <f>RANK(X28,X27:X31,1)</f>
        <v>5</v>
      </c>
    </row>
    <row r="29" spans="1:26" ht="12.75">
      <c r="A29" s="5"/>
      <c r="B29" s="136" t="str">
        <f>+'Team Selection'!J5</f>
        <v>Luke Goodman</v>
      </c>
      <c r="C29" s="151">
        <f>VLOOKUP($B29&amp;"1",Data!$C:$G,2,FALSE)</f>
        <v>2</v>
      </c>
      <c r="D29" s="13">
        <f>VLOOKUP($B29&amp;"1",Data!$C:$G,4,FALSE)</f>
        <v>0.010150462962962964</v>
      </c>
      <c r="E29" s="14">
        <f>VLOOKUP($B29&amp;"1",Data!$C:$G,5,FALSE)</f>
        <v>3.6</v>
      </c>
      <c r="F29" s="15">
        <f>+D29/E29</f>
        <v>0.00281957304526749</v>
      </c>
      <c r="H29" s="151">
        <f>VLOOKUP($B29&amp;"2",Data!$C:$G,2,FALSE)</f>
        <v>6</v>
      </c>
      <c r="I29" s="13">
        <f>VLOOKUP($B29&amp;"2",Data!$C:$G,4,FALSE)</f>
        <v>0.009236111111111112</v>
      </c>
      <c r="J29" s="14">
        <f>VLOOKUP($B29&amp;"2",Data!$C:$G,5,FALSE)</f>
        <v>3.25</v>
      </c>
      <c r="K29" s="15">
        <f>+I29/J29</f>
        <v>0.002841880341880342</v>
      </c>
      <c r="M29" s="151" t="str">
        <f>VLOOKUP($B29&amp;"3",Data!$C:$G,2,FALSE)</f>
        <v>8 #2</v>
      </c>
      <c r="N29" s="13">
        <f>VLOOKUP($B29&amp;"3",Data!$C:$G,4,FALSE)</f>
        <v>0.008553240740740741</v>
      </c>
      <c r="O29" s="14">
        <f>VLOOKUP($B29&amp;"3",Data!$C:$G,5,FALSE)</f>
        <v>3</v>
      </c>
      <c r="P29" s="15">
        <f>+N29/O29</f>
        <v>0.0028510802469135805</v>
      </c>
      <c r="R29" s="151">
        <f>VLOOKUP($B29&amp;"4",Data!$C:$G,2,FALSE)</f>
        <v>14</v>
      </c>
      <c r="S29" s="13">
        <f>VLOOKUP($B29&amp;"4",Data!$C:$G,4,FALSE)</f>
        <v>0.00954861111111111</v>
      </c>
      <c r="T29" s="14">
        <f>VLOOKUP($B29&amp;"4",Data!$C:$G,5,FALSE)</f>
        <v>3.7</v>
      </c>
      <c r="U29" s="15">
        <f>+S29/T29</f>
        <v>0.0025807057057057052</v>
      </c>
      <c r="W29" s="155">
        <f>SUM(E29,J29,O29,T29)</f>
        <v>13.55</v>
      </c>
      <c r="X29" s="15">
        <f>SUM(D29,I29,N29,S29)/W29</f>
        <v>0.0027666735000683343</v>
      </c>
      <c r="Z29" s="2">
        <f>RANK(X29,X27:X31,1)</f>
        <v>2</v>
      </c>
    </row>
    <row r="30" spans="1:26" ht="12.75">
      <c r="A30" s="5"/>
      <c r="B30" s="136" t="str">
        <f>+'Team Selection'!J6</f>
        <v>Sean McGaughey</v>
      </c>
      <c r="C30" s="151">
        <f>VLOOKUP($B30&amp;"1",Data!$C:$G,2,FALSE)</f>
        <v>3</v>
      </c>
      <c r="D30" s="13">
        <f>VLOOKUP($B30&amp;"1",Data!$C:$G,4,FALSE)</f>
        <v>0.011296296296296296</v>
      </c>
      <c r="E30" s="14">
        <f>VLOOKUP($B30&amp;"1",Data!$C:$G,5,FALSE)</f>
        <v>3.9</v>
      </c>
      <c r="F30" s="15">
        <f>+D30/E30</f>
        <v>0.002896486229819563</v>
      </c>
      <c r="H30" s="151">
        <f>VLOOKUP($B30&amp;"2",Data!$C:$G,2,FALSE)</f>
        <v>7</v>
      </c>
      <c r="I30" s="13">
        <f>VLOOKUP($B30&amp;"2",Data!$C:$G,4,FALSE)</f>
        <v>0.010439814814814813</v>
      </c>
      <c r="J30" s="14">
        <f>VLOOKUP($B30&amp;"2",Data!$C:$G,5,FALSE)</f>
        <v>3.7</v>
      </c>
      <c r="K30" s="15">
        <f>+I30/J30</f>
        <v>0.002821571571571571</v>
      </c>
      <c r="M30" s="151" t="str">
        <f>VLOOKUP($B30&amp;"3",Data!$C:$G,2,FALSE)</f>
        <v>8 #2</v>
      </c>
      <c r="N30" s="13">
        <f>VLOOKUP($B30&amp;"3",Data!$C:$G,4,FALSE)</f>
        <v>0.008553240740740741</v>
      </c>
      <c r="O30" s="14">
        <f>VLOOKUP($B30&amp;"3",Data!$C:$G,5,FALSE)</f>
        <v>3</v>
      </c>
      <c r="P30" s="15">
        <f>+N30/O30</f>
        <v>0.0028510802469135805</v>
      </c>
      <c r="R30" s="151">
        <f>VLOOKUP($B30&amp;"4",Data!$C:$G,2,FALSE)</f>
        <v>14</v>
      </c>
      <c r="S30" s="13">
        <f>VLOOKUP($B30&amp;"4",Data!$C:$G,4,FALSE)</f>
        <v>0.009930555555555555</v>
      </c>
      <c r="T30" s="14">
        <f>VLOOKUP($B30&amp;"4",Data!$C:$G,5,FALSE)</f>
        <v>3.7</v>
      </c>
      <c r="U30" s="15">
        <f>+S30/T30</f>
        <v>0.0026839339339339336</v>
      </c>
      <c r="W30" s="155">
        <f>SUM(E30,J30,O30,T30)</f>
        <v>14.3</v>
      </c>
      <c r="X30" s="15">
        <f>SUM(D30,I30,N30,S30)/W30</f>
        <v>0.0028125809375809372</v>
      </c>
      <c r="Z30" s="2">
        <f>RANK(X30,X27:X31,1)</f>
        <v>3</v>
      </c>
    </row>
    <row r="31" spans="1:26" ht="12.75">
      <c r="A31" s="5"/>
      <c r="B31" s="136" t="str">
        <f>+'Team Selection'!J7</f>
        <v>Mike Bialczak</v>
      </c>
      <c r="C31" s="151">
        <f>VLOOKUP($B31&amp;"1",Data!$C:$G,2,FALSE)</f>
        <v>2</v>
      </c>
      <c r="D31" s="13">
        <f>VLOOKUP($B31&amp;"1",Data!$C:$G,4,FALSE)</f>
        <v>0.009814814814814814</v>
      </c>
      <c r="E31" s="14">
        <f>VLOOKUP($B31&amp;"1",Data!$C:$G,5,FALSE)</f>
        <v>3.6</v>
      </c>
      <c r="F31" s="15">
        <f>+D31/E31</f>
        <v>0.0027263374485596704</v>
      </c>
      <c r="H31" s="151">
        <f>VLOOKUP($B31&amp;"2",Data!$C:$G,2,FALSE)</f>
        <v>6</v>
      </c>
      <c r="I31" s="13">
        <f>VLOOKUP($B31&amp;"2",Data!$C:$G,4,FALSE)</f>
        <v>0.008344907407407409</v>
      </c>
      <c r="J31" s="14">
        <f>VLOOKUP($B31&amp;"2",Data!$C:$G,5,FALSE)</f>
        <v>3.25</v>
      </c>
      <c r="K31" s="15">
        <f>+I31/J31</f>
        <v>0.002567663817663818</v>
      </c>
      <c r="M31" s="151" t="str">
        <f>VLOOKUP($B31&amp;"3",Data!$C:$G,2,FALSE)</f>
        <v>8 #2</v>
      </c>
      <c r="N31" s="13">
        <f>VLOOKUP($B31&amp;"3",Data!$C:$G,4,FALSE)</f>
        <v>0.008125</v>
      </c>
      <c r="O31" s="14">
        <f>VLOOKUP($B31&amp;"3",Data!$C:$G,5,FALSE)</f>
        <v>3</v>
      </c>
      <c r="P31" s="15">
        <f>+N31/O31</f>
        <v>0.0027083333333333334</v>
      </c>
      <c r="R31" s="151">
        <f>VLOOKUP($B31&amp;"4",Data!$C:$G,2,FALSE)</f>
        <v>14</v>
      </c>
      <c r="S31" s="13">
        <f>VLOOKUP($B31&amp;"4",Data!$C:$G,4,FALSE)</f>
        <v>0.010416666666666666</v>
      </c>
      <c r="T31" s="14">
        <f>VLOOKUP($B31&amp;"4",Data!$C:$G,5,FALSE)</f>
        <v>3.7</v>
      </c>
      <c r="U31" s="15">
        <f>+S31/T31</f>
        <v>0.002815315315315315</v>
      </c>
      <c r="W31" s="155">
        <f>SUM(E31,J31,O31,T31)</f>
        <v>13.55</v>
      </c>
      <c r="X31" s="15">
        <f>SUM(D31,I31,N31,S31)/W31</f>
        <v>0.0027085895858958587</v>
      </c>
      <c r="Z31" s="2">
        <f>RANK(X31,X27:X31,1)</f>
        <v>1</v>
      </c>
    </row>
    <row r="32" spans="3:24" ht="12.75">
      <c r="C32" s="6"/>
      <c r="D32" s="13"/>
      <c r="E32" s="14"/>
      <c r="F32" s="13"/>
      <c r="G32" s="7"/>
      <c r="H32" s="6"/>
      <c r="I32" s="13"/>
      <c r="J32" s="14"/>
      <c r="K32" s="13"/>
      <c r="L32" s="7"/>
      <c r="M32" s="6"/>
      <c r="N32" s="13"/>
      <c r="O32" s="14"/>
      <c r="P32" s="13"/>
      <c r="Q32" s="7"/>
      <c r="R32" s="6"/>
      <c r="S32" s="13"/>
      <c r="T32" s="14"/>
      <c r="U32" s="13"/>
      <c r="X32" s="13"/>
    </row>
  </sheetData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6" customWidth="1"/>
    <col min="2" max="2" width="9.140625" style="16" customWidth="1"/>
    <col min="3" max="3" width="20.00390625" style="16" customWidth="1"/>
    <col min="4" max="4" width="9.140625" style="16" customWidth="1"/>
    <col min="5" max="5" width="20.7109375" style="0" customWidth="1"/>
  </cols>
  <sheetData>
    <row r="1" spans="1:7" ht="12.75">
      <c r="A1" s="16" t="s">
        <v>62</v>
      </c>
      <c r="B1" s="16" t="s">
        <v>0</v>
      </c>
      <c r="D1" s="16" t="s">
        <v>11</v>
      </c>
      <c r="E1" s="16" t="s">
        <v>37</v>
      </c>
      <c r="F1" s="16" t="s">
        <v>7</v>
      </c>
      <c r="G1" s="16" t="s">
        <v>38</v>
      </c>
    </row>
    <row r="2" spans="1:7" ht="12.75">
      <c r="A2" s="16">
        <f>COUNTIF(E$2:E2,E2)</f>
        <v>1</v>
      </c>
      <c r="B2" s="16">
        <v>1</v>
      </c>
      <c r="C2" s="16" t="str">
        <f>E2&amp;A2</f>
        <v>Stephen Paine1</v>
      </c>
      <c r="D2" s="16" t="s">
        <v>50</v>
      </c>
      <c r="E2" t="str">
        <f>+'Stage  Entry'!H4</f>
        <v>Stephen Paine</v>
      </c>
      <c r="F2" s="138">
        <f>+'Stage  Entry'!I4</f>
        <v>0.0069097222222222225</v>
      </c>
      <c r="G2" s="17">
        <f aca="true" t="shared" si="0" ref="G2:G11">+Dist1</f>
        <v>3</v>
      </c>
    </row>
    <row r="3" spans="1:7" ht="12.75">
      <c r="A3" s="16">
        <f>COUNTIF(E$2:E3,E3)</f>
        <v>1</v>
      </c>
      <c r="B3" s="16">
        <v>2</v>
      </c>
      <c r="C3" s="16" t="str">
        <f aca="true" t="shared" si="1" ref="C3:C48">E3&amp;A3</f>
        <v>Simon Bevage1</v>
      </c>
      <c r="D3" s="16" t="s">
        <v>50</v>
      </c>
      <c r="E3" t="str">
        <f>+'Stage  Entry'!H5</f>
        <v>Simon Bevage</v>
      </c>
      <c r="F3" s="138">
        <f>+'Stage  Entry'!I5</f>
        <v>0.007071759259259259</v>
      </c>
      <c r="G3" s="17">
        <f t="shared" si="0"/>
        <v>3</v>
      </c>
    </row>
    <row r="4" spans="1:7" ht="12.75">
      <c r="A4" s="16">
        <f>COUNTIF(E$2:E4,E4)</f>
        <v>1</v>
      </c>
      <c r="B4" s="16">
        <v>3</v>
      </c>
      <c r="C4" s="16" t="str">
        <f t="shared" si="1"/>
        <v>David Venour1</v>
      </c>
      <c r="D4" s="16" t="s">
        <v>50</v>
      </c>
      <c r="E4" t="str">
        <f>+'Stage  Entry'!H6</f>
        <v>David Venour</v>
      </c>
      <c r="F4" s="138">
        <f>+'Stage  Entry'!I6</f>
        <v>0.007025462962962963</v>
      </c>
      <c r="G4" s="17">
        <f t="shared" si="0"/>
        <v>3</v>
      </c>
    </row>
    <row r="5" spans="1:7" ht="12.75">
      <c r="A5" s="16">
        <f>COUNTIF(E$2:E5,E5)</f>
        <v>1</v>
      </c>
      <c r="B5" s="16">
        <v>4</v>
      </c>
      <c r="C5" s="16" t="str">
        <f t="shared" si="1"/>
        <v>Anthony Lee1</v>
      </c>
      <c r="D5" s="16" t="s">
        <v>50</v>
      </c>
      <c r="E5" t="str">
        <f>+'Stage  Entry'!H7</f>
        <v>Anthony Lee</v>
      </c>
      <c r="F5" s="138">
        <f>+'Stage  Entry'!I7</f>
        <v>0.007546296296296297</v>
      </c>
      <c r="G5" s="17">
        <f t="shared" si="0"/>
        <v>3</v>
      </c>
    </row>
    <row r="6" spans="1:7" ht="12.75">
      <c r="A6" s="16">
        <f>COUNTIF(E$2:E6,E6)</f>
        <v>1</v>
      </c>
      <c r="B6" s="16">
        <v>5</v>
      </c>
      <c r="C6" s="16" t="str">
        <f t="shared" si="1"/>
        <v>Anthony Weiland1</v>
      </c>
      <c r="D6" s="16" t="s">
        <v>50</v>
      </c>
      <c r="E6" t="str">
        <f>+'Stage  Entry'!H8</f>
        <v>Anthony Weiland</v>
      </c>
      <c r="F6" s="138">
        <f>+'Stage  Entry'!I8</f>
        <v>0.0076157407407407415</v>
      </c>
      <c r="G6" s="17">
        <f t="shared" si="0"/>
        <v>3</v>
      </c>
    </row>
    <row r="7" spans="1:7" ht="12.75">
      <c r="A7" s="16">
        <f>COUNTIF(E$2:E7,E7)</f>
        <v>1</v>
      </c>
      <c r="B7" s="16">
        <v>1</v>
      </c>
      <c r="C7" s="16" t="str">
        <f t="shared" si="1"/>
        <v>Paul Marsh1</v>
      </c>
      <c r="D7" s="16" t="s">
        <v>51</v>
      </c>
      <c r="E7" t="str">
        <f>+'Stage  Entry'!M4</f>
        <v>Paul Marsh</v>
      </c>
      <c r="F7" s="138">
        <f>+'Stage  Entry'!N4</f>
        <v>0.007997685185185186</v>
      </c>
      <c r="G7" s="17">
        <f t="shared" si="0"/>
        <v>3</v>
      </c>
    </row>
    <row r="8" spans="1:7" ht="12.75">
      <c r="A8" s="16">
        <f>COUNTIF(E$2:E8,E8)</f>
        <v>1</v>
      </c>
      <c r="B8" s="16">
        <v>2</v>
      </c>
      <c r="C8" s="16" t="str">
        <f t="shared" si="1"/>
        <v>Matt Sandilands1</v>
      </c>
      <c r="D8" s="16" t="s">
        <v>51</v>
      </c>
      <c r="E8" t="str">
        <f>+'Stage  Entry'!M5</f>
        <v>Matt Sandilands</v>
      </c>
      <c r="F8" s="138">
        <f>+'Stage  Entry'!N5</f>
        <v>0.008206018518518519</v>
      </c>
      <c r="G8" s="17">
        <f t="shared" si="0"/>
        <v>3</v>
      </c>
    </row>
    <row r="9" spans="1:7" ht="12.75">
      <c r="A9" s="16">
        <f>COUNTIF(E$2:E9,E9)</f>
        <v>1</v>
      </c>
      <c r="B9" s="16">
        <v>3</v>
      </c>
      <c r="C9" s="16" t="str">
        <f t="shared" si="1"/>
        <v>Patrick O'Keefe1</v>
      </c>
      <c r="D9" s="16" t="s">
        <v>51</v>
      </c>
      <c r="E9" t="str">
        <f>+'Stage  Entry'!M6</f>
        <v>Patrick O'Keefe</v>
      </c>
      <c r="F9" s="138">
        <f>+'Stage  Entry'!N6</f>
        <v>0.007337962962962963</v>
      </c>
      <c r="G9" s="17">
        <f t="shared" si="0"/>
        <v>3</v>
      </c>
    </row>
    <row r="10" spans="1:7" ht="12.75">
      <c r="A10" s="16">
        <f>COUNTIF(E$2:E10,E10)</f>
        <v>1</v>
      </c>
      <c r="B10" s="16">
        <v>4</v>
      </c>
      <c r="C10" s="16" t="str">
        <f t="shared" si="1"/>
        <v>Troy Williams1</v>
      </c>
      <c r="D10" s="16" t="s">
        <v>51</v>
      </c>
      <c r="E10" t="str">
        <f>+'Stage  Entry'!M7</f>
        <v>Troy Williams</v>
      </c>
      <c r="F10" s="138">
        <f>+'Stage  Entry'!N7</f>
        <v>0.0072106481481481475</v>
      </c>
      <c r="G10" s="17">
        <f t="shared" si="0"/>
        <v>3</v>
      </c>
    </row>
    <row r="11" spans="1:7" ht="12.75">
      <c r="A11" s="16">
        <f>COUNTIF(E$2:E11,E11)</f>
        <v>1</v>
      </c>
      <c r="B11" s="16">
        <v>5</v>
      </c>
      <c r="C11" s="16" t="str">
        <f t="shared" si="1"/>
        <v>Anthony Mithen1</v>
      </c>
      <c r="D11" s="16" t="s">
        <v>51</v>
      </c>
      <c r="E11" t="str">
        <f>+'Stage  Entry'!M8</f>
        <v>Anthony Mithen</v>
      </c>
      <c r="F11" s="138">
        <f>+'Stage  Entry'!N8</f>
        <v>0.007569444444444445</v>
      </c>
      <c r="G11" s="17">
        <f t="shared" si="0"/>
        <v>3</v>
      </c>
    </row>
    <row r="12" spans="1:7" ht="12.75">
      <c r="A12" s="16">
        <f>COUNTIF(E$2:E12,E12)</f>
        <v>1</v>
      </c>
      <c r="B12" s="16">
        <v>1</v>
      </c>
      <c r="C12" s="16" t="str">
        <f t="shared" si="1"/>
        <v>Jim Grelis1</v>
      </c>
      <c r="D12" s="16">
        <v>2</v>
      </c>
      <c r="E12" t="str">
        <f>+'Stage  Entry'!W4</f>
        <v>Jim Grelis</v>
      </c>
      <c r="F12" s="138">
        <f>+'Stage  Entry'!X4</f>
        <v>0.01076388888888889</v>
      </c>
      <c r="G12" s="17">
        <f>+Dist2</f>
        <v>3.6</v>
      </c>
    </row>
    <row r="13" spans="1:7" ht="12.75">
      <c r="A13" s="16">
        <f>COUNTIF(E$2:E13,E13)</f>
        <v>1</v>
      </c>
      <c r="B13" s="16">
        <v>2</v>
      </c>
      <c r="C13" s="16" t="str">
        <f t="shared" si="1"/>
        <v>Col Marson1</v>
      </c>
      <c r="D13" s="16">
        <v>2</v>
      </c>
      <c r="E13" t="str">
        <f>+'Stage  Entry'!W5</f>
        <v>Col Marson</v>
      </c>
      <c r="F13" s="138">
        <f>+'Stage  Entry'!X5</f>
        <v>0.010231481481481482</v>
      </c>
      <c r="G13" s="17">
        <f>+Dist2</f>
        <v>3.6</v>
      </c>
    </row>
    <row r="14" spans="1:7" ht="12.75">
      <c r="A14" s="16">
        <f>COUNTIF(E$2:E14,E14)</f>
        <v>1</v>
      </c>
      <c r="B14" s="16">
        <v>3</v>
      </c>
      <c r="C14" s="16" t="str">
        <f t="shared" si="1"/>
        <v>Luke Goodman1</v>
      </c>
      <c r="D14" s="16">
        <v>2</v>
      </c>
      <c r="E14" t="str">
        <f>+'Stage  Entry'!W6</f>
        <v>Luke Goodman</v>
      </c>
      <c r="F14" s="138">
        <f>+'Stage  Entry'!X6</f>
        <v>0.010150462962962964</v>
      </c>
      <c r="G14" s="17">
        <f>+Dist2</f>
        <v>3.6</v>
      </c>
    </row>
    <row r="15" spans="1:7" ht="12.75">
      <c r="A15" s="16">
        <f>COUNTIF(E$2:E15,E15)</f>
        <v>1</v>
      </c>
      <c r="B15" s="16">
        <v>4</v>
      </c>
      <c r="C15" s="16" t="str">
        <f t="shared" si="1"/>
        <v>Luke Grima1</v>
      </c>
      <c r="D15" s="16">
        <v>2</v>
      </c>
      <c r="E15" t="str">
        <f>+'Stage  Entry'!W7</f>
        <v>Luke Grima</v>
      </c>
      <c r="F15" s="138">
        <f>+'Stage  Entry'!X7</f>
        <v>0.01019675925925926</v>
      </c>
      <c r="G15" s="17">
        <f>+Dist2</f>
        <v>3.6</v>
      </c>
    </row>
    <row r="16" spans="1:7" ht="12.75">
      <c r="A16" s="16">
        <f>COUNTIF(E$2:E16,E16)</f>
        <v>1</v>
      </c>
      <c r="B16" s="16">
        <v>5</v>
      </c>
      <c r="C16" s="16" t="str">
        <f t="shared" si="1"/>
        <v>Mike Bialczak1</v>
      </c>
      <c r="D16" s="16">
        <v>2</v>
      </c>
      <c r="E16" t="str">
        <f>+'Stage  Entry'!W8</f>
        <v>Mike Bialczak</v>
      </c>
      <c r="F16" s="138">
        <f>+'Stage  Entry'!X8</f>
        <v>0.009814814814814814</v>
      </c>
      <c r="G16" s="17">
        <f>+Dist2</f>
        <v>3.6</v>
      </c>
    </row>
    <row r="17" spans="1:7" ht="12.75">
      <c r="A17" s="16">
        <f>COUNTIF(E$2:E17,E17)</f>
        <v>1</v>
      </c>
      <c r="B17" s="16">
        <v>1</v>
      </c>
      <c r="C17" s="16" t="str">
        <f t="shared" si="1"/>
        <v>Glenn Goodman1</v>
      </c>
      <c r="D17" s="16">
        <v>3</v>
      </c>
      <c r="E17" t="str">
        <f>+'Stage  Entry'!AB4</f>
        <v>Glenn Goodman</v>
      </c>
      <c r="F17" s="138">
        <f>+'Stage  Entry'!AC4</f>
        <v>0.011273148148148148</v>
      </c>
      <c r="G17" s="17">
        <f>+Dist3</f>
        <v>3.9</v>
      </c>
    </row>
    <row r="18" spans="1:7" ht="12.75">
      <c r="A18" s="16">
        <f>COUNTIF(E$2:E18,E18)</f>
        <v>1</v>
      </c>
      <c r="B18" s="16">
        <v>2</v>
      </c>
      <c r="C18" s="16" t="str">
        <f t="shared" si="1"/>
        <v>Craig Harris1</v>
      </c>
      <c r="D18" s="16">
        <v>3</v>
      </c>
      <c r="E18" t="str">
        <f>+'Stage  Entry'!AB5</f>
        <v>Craig Harris</v>
      </c>
      <c r="F18" s="138">
        <f>+'Stage  Entry'!AC5</f>
        <v>0.011006944444444444</v>
      </c>
      <c r="G18" s="17">
        <f>+Dist3</f>
        <v>3.9</v>
      </c>
    </row>
    <row r="19" spans="1:7" ht="12.75">
      <c r="A19" s="16">
        <f>COUNTIF(E$2:E19,E19)</f>
        <v>1</v>
      </c>
      <c r="B19" s="16">
        <v>3</v>
      </c>
      <c r="C19" s="16" t="str">
        <f t="shared" si="1"/>
        <v>Gary O'Dwyer1</v>
      </c>
      <c r="D19" s="16">
        <v>3</v>
      </c>
      <c r="E19" t="str">
        <f>+'Stage  Entry'!AB6</f>
        <v>Gary O'Dwyer</v>
      </c>
      <c r="F19" s="138">
        <f>+'Stage  Entry'!AC6</f>
        <v>0.011423611111111112</v>
      </c>
      <c r="G19" s="17">
        <f>+Dist3</f>
        <v>3.9</v>
      </c>
    </row>
    <row r="20" spans="1:7" ht="12.75">
      <c r="A20" s="16">
        <f>COUNTIF(E$2:E20,E20)</f>
        <v>1</v>
      </c>
      <c r="B20" s="16">
        <v>4</v>
      </c>
      <c r="C20" s="16" t="str">
        <f t="shared" si="1"/>
        <v>Sean McGaughey1</v>
      </c>
      <c r="D20" s="16">
        <v>3</v>
      </c>
      <c r="E20" t="str">
        <f>+'Stage  Entry'!AB7</f>
        <v>Sean McGaughey</v>
      </c>
      <c r="F20" s="138">
        <f>+'Stage  Entry'!AC7</f>
        <v>0.011296296296296296</v>
      </c>
      <c r="G20" s="17">
        <f>+Dist3</f>
        <v>3.9</v>
      </c>
    </row>
    <row r="21" spans="1:7" ht="12.75">
      <c r="A21" s="16">
        <f>COUNTIF(E$2:E21,E21)</f>
        <v>1</v>
      </c>
      <c r="B21" s="16">
        <v>5</v>
      </c>
      <c r="C21" s="16" t="str">
        <f t="shared" si="1"/>
        <v>Chris Osborne1</v>
      </c>
      <c r="D21" s="16">
        <v>3</v>
      </c>
      <c r="E21" t="str">
        <f>+'Stage  Entry'!AB8</f>
        <v>Chris Osborne</v>
      </c>
      <c r="F21" s="138">
        <f>+'Stage  Entry'!AC8</f>
        <v>0.011620370370370371</v>
      </c>
      <c r="G21" s="17">
        <f>+Dist3</f>
        <v>3.9</v>
      </c>
    </row>
    <row r="22" spans="1:7" ht="12.75">
      <c r="A22" s="16">
        <f>COUNTIF(E$2:E22,E22)</f>
        <v>2</v>
      </c>
      <c r="B22" s="16">
        <v>1</v>
      </c>
      <c r="C22" s="16" t="str">
        <f t="shared" si="1"/>
        <v>Paul Marsh2</v>
      </c>
      <c r="D22" s="16">
        <v>4</v>
      </c>
      <c r="E22" t="str">
        <f>+'Stage  Entry'!AG4</f>
        <v>Paul Marsh</v>
      </c>
      <c r="F22" s="138">
        <f>+'Stage  Entry'!AH4</f>
        <v>0.011157407407407408</v>
      </c>
      <c r="G22" s="17">
        <f>+Dist4</f>
        <v>4.2</v>
      </c>
    </row>
    <row r="23" spans="1:7" ht="12.75">
      <c r="A23" s="16">
        <f>COUNTIF(E$2:E23,E23)</f>
        <v>2</v>
      </c>
      <c r="B23" s="16">
        <v>2</v>
      </c>
      <c r="C23" s="16" t="str">
        <f t="shared" si="1"/>
        <v>Simon Bevage2</v>
      </c>
      <c r="D23" s="16">
        <v>4</v>
      </c>
      <c r="E23" t="str">
        <f>+'Stage  Entry'!AG5</f>
        <v>Simon Bevage</v>
      </c>
      <c r="F23" s="138">
        <f>+'Stage  Entry'!AH5</f>
        <v>0.01</v>
      </c>
      <c r="G23" s="17">
        <f>+Dist4</f>
        <v>4.2</v>
      </c>
    </row>
    <row r="24" spans="1:7" ht="12.75">
      <c r="A24" s="16">
        <f>COUNTIF(E$2:E24,E24)</f>
        <v>2</v>
      </c>
      <c r="B24" s="16">
        <v>3</v>
      </c>
      <c r="C24" s="16" t="str">
        <f t="shared" si="1"/>
        <v>Patrick O'Keefe2</v>
      </c>
      <c r="D24" s="16">
        <v>4</v>
      </c>
      <c r="E24" t="str">
        <f>+'Stage  Entry'!AG6</f>
        <v>Patrick O'Keefe</v>
      </c>
      <c r="F24" s="138">
        <f>+'Stage  Entry'!AH6</f>
        <v>0.010081018518518519</v>
      </c>
      <c r="G24" s="17">
        <f>+Dist4</f>
        <v>4.2</v>
      </c>
    </row>
    <row r="25" spans="1:7" ht="12.75">
      <c r="A25" s="16">
        <f>COUNTIF(E$2:E25,E25)</f>
        <v>2</v>
      </c>
      <c r="B25" s="16">
        <v>4</v>
      </c>
      <c r="C25" s="16" t="str">
        <f t="shared" si="1"/>
        <v>Anthony Lee2</v>
      </c>
      <c r="D25" s="16">
        <v>4</v>
      </c>
      <c r="E25" t="str">
        <f>+'Stage  Entry'!AG7</f>
        <v>Anthony Lee</v>
      </c>
      <c r="F25" s="138">
        <f>+'Stage  Entry'!AH7</f>
        <v>0.010462962962962964</v>
      </c>
      <c r="G25" s="17">
        <f>+Dist4</f>
        <v>4.2</v>
      </c>
    </row>
    <row r="26" spans="1:7" ht="12.75">
      <c r="A26" s="16">
        <f>COUNTIF(E$2:E26,E26)</f>
        <v>2</v>
      </c>
      <c r="B26" s="16">
        <v>5</v>
      </c>
      <c r="C26" s="16" t="str">
        <f t="shared" si="1"/>
        <v>Anthony Mithen2</v>
      </c>
      <c r="D26" s="16">
        <v>4</v>
      </c>
      <c r="E26" t="str">
        <f>+'Stage  Entry'!AG8</f>
        <v>Anthony Mithen</v>
      </c>
      <c r="F26" s="138">
        <f>+'Stage  Entry'!AH8</f>
        <v>0.010393518518518519</v>
      </c>
      <c r="G26" s="17">
        <f>+Dist4</f>
        <v>4.2</v>
      </c>
    </row>
    <row r="27" spans="1:7" ht="12.75">
      <c r="A27" s="16">
        <f>COUNTIF(E$2:E27,E27)</f>
        <v>2</v>
      </c>
      <c r="B27" s="16">
        <v>1</v>
      </c>
      <c r="C27" s="16" t="str">
        <f t="shared" si="1"/>
        <v>Stephen Paine2</v>
      </c>
      <c r="D27" s="16">
        <v>5</v>
      </c>
      <c r="E27" t="str">
        <f>+'Stage  Entry'!AL4</f>
        <v>Stephen Paine</v>
      </c>
      <c r="F27" s="138">
        <f>+'Stage  Entry'!AM4</f>
        <v>0.010185185185185184</v>
      </c>
      <c r="G27" s="17">
        <f>+Dist5</f>
        <v>4.7</v>
      </c>
    </row>
    <row r="28" spans="1:7" ht="12.75">
      <c r="A28" s="16">
        <f>COUNTIF(E$2:E28,E28)</f>
        <v>2</v>
      </c>
      <c r="B28" s="16">
        <v>2</v>
      </c>
      <c r="C28" s="16" t="str">
        <f t="shared" si="1"/>
        <v>Matt Sandilands2</v>
      </c>
      <c r="D28" s="16">
        <v>5</v>
      </c>
      <c r="E28" t="str">
        <f>+'Stage  Entry'!AL5</f>
        <v>Matt Sandilands</v>
      </c>
      <c r="F28" s="138">
        <f>+'Stage  Entry'!AM5</f>
        <v>0.011539351851851851</v>
      </c>
      <c r="G28" s="17">
        <f>+Dist5</f>
        <v>4.7</v>
      </c>
    </row>
    <row r="29" spans="1:7" ht="12.75">
      <c r="A29" s="16">
        <f>COUNTIF(E$2:E29,E29)</f>
        <v>2</v>
      </c>
      <c r="B29" s="16">
        <v>3</v>
      </c>
      <c r="C29" s="16" t="str">
        <f t="shared" si="1"/>
        <v>David Venour2</v>
      </c>
      <c r="D29" s="16">
        <v>5</v>
      </c>
      <c r="E29" t="str">
        <f>+'Stage  Entry'!AL6</f>
        <v>David Venour</v>
      </c>
      <c r="F29" s="138">
        <f>+'Stage  Entry'!AM6</f>
        <v>0.010555555555555554</v>
      </c>
      <c r="G29" s="17">
        <f>+Dist5</f>
        <v>4.7</v>
      </c>
    </row>
    <row r="30" spans="1:7" ht="12.75">
      <c r="A30" s="16">
        <f>COUNTIF(E$2:E30,E30)</f>
        <v>2</v>
      </c>
      <c r="B30" s="16">
        <v>4</v>
      </c>
      <c r="C30" s="16" t="str">
        <f t="shared" si="1"/>
        <v>Troy Williams2</v>
      </c>
      <c r="D30" s="16">
        <v>5</v>
      </c>
      <c r="E30" t="str">
        <f>+'Stage  Entry'!AL7</f>
        <v>Troy Williams</v>
      </c>
      <c r="F30" s="138">
        <f>+'Stage  Entry'!AM7</f>
        <v>0.010162037037037037</v>
      </c>
      <c r="G30" s="17">
        <f>+Dist5</f>
        <v>4.7</v>
      </c>
    </row>
    <row r="31" spans="1:7" ht="12.75">
      <c r="A31" s="16">
        <f>COUNTIF(E$2:E31,E31)</f>
        <v>2</v>
      </c>
      <c r="B31" s="16">
        <v>5</v>
      </c>
      <c r="C31" s="16" t="str">
        <f t="shared" si="1"/>
        <v>Anthony Weiland2</v>
      </c>
      <c r="D31" s="16">
        <v>5</v>
      </c>
      <c r="E31" t="str">
        <f>+'Stage  Entry'!AL8</f>
        <v>Anthony Weiland</v>
      </c>
      <c r="F31" s="138">
        <f>+'Stage  Entry'!AM8</f>
        <v>0.010983796296296297</v>
      </c>
      <c r="G31" s="17">
        <f>+Dist5</f>
        <v>4.7</v>
      </c>
    </row>
    <row r="32" spans="1:7" ht="12.75">
      <c r="A32" s="16">
        <f>COUNTIF(E$2:E32,E32)</f>
        <v>2</v>
      </c>
      <c r="B32" s="16">
        <v>1</v>
      </c>
      <c r="C32" s="16" t="str">
        <f t="shared" si="1"/>
        <v>Jim Grelis2</v>
      </c>
      <c r="D32" s="16">
        <v>6</v>
      </c>
      <c r="E32" t="str">
        <f>+'Stage  Entry'!AQ4</f>
        <v>Jim Grelis</v>
      </c>
      <c r="F32" s="138">
        <f>+'Stage  Entry'!AR4</f>
        <v>0.009849537037037037</v>
      </c>
      <c r="G32" s="17">
        <f>+Dist6</f>
        <v>3.25</v>
      </c>
    </row>
    <row r="33" spans="1:7" ht="12.75">
      <c r="A33" s="16">
        <f>COUNTIF(E$2:E33,E33)</f>
        <v>2</v>
      </c>
      <c r="B33" s="16">
        <v>2</v>
      </c>
      <c r="C33" s="16" t="str">
        <f t="shared" si="1"/>
        <v>Col Marson2</v>
      </c>
      <c r="D33" s="16">
        <v>6</v>
      </c>
      <c r="E33" t="str">
        <f>+'Stage  Entry'!AQ5</f>
        <v>Col Marson</v>
      </c>
      <c r="F33" s="138">
        <f>+'Stage  Entry'!AR5</f>
        <v>0.009212962962962963</v>
      </c>
      <c r="G33" s="17">
        <f>+Dist6</f>
        <v>3.25</v>
      </c>
    </row>
    <row r="34" spans="1:7" ht="12.75">
      <c r="A34" s="16">
        <f>COUNTIF(E$2:E34,E34)</f>
        <v>2</v>
      </c>
      <c r="B34" s="16">
        <v>3</v>
      </c>
      <c r="C34" s="16" t="str">
        <f t="shared" si="1"/>
        <v>Luke Goodman2</v>
      </c>
      <c r="D34" s="16">
        <v>6</v>
      </c>
      <c r="E34" t="str">
        <f>+'Stage  Entry'!AQ6</f>
        <v>Luke Goodman</v>
      </c>
      <c r="F34" s="138">
        <f>+'Stage  Entry'!AR6</f>
        <v>0.009236111111111112</v>
      </c>
      <c r="G34" s="17">
        <f>+Dist6</f>
        <v>3.25</v>
      </c>
    </row>
    <row r="35" spans="1:7" ht="12.75">
      <c r="A35" s="16">
        <f>COUNTIF(E$2:E35,E35)</f>
        <v>2</v>
      </c>
      <c r="B35" s="16">
        <v>4</v>
      </c>
      <c r="C35" s="16" t="str">
        <f t="shared" si="1"/>
        <v>Luke Grima2</v>
      </c>
      <c r="D35" s="16">
        <v>6</v>
      </c>
      <c r="E35" t="str">
        <f>+'Stage  Entry'!AQ7</f>
        <v>Luke Grima</v>
      </c>
      <c r="F35" s="138">
        <f>+'Stage  Entry'!AR7</f>
        <v>0.00863425925925926</v>
      </c>
      <c r="G35" s="17">
        <f>+Dist6</f>
        <v>3.25</v>
      </c>
    </row>
    <row r="36" spans="1:7" ht="12.75">
      <c r="A36" s="16">
        <f>COUNTIF(E$2:E36,E36)</f>
        <v>2</v>
      </c>
      <c r="B36" s="16">
        <v>5</v>
      </c>
      <c r="C36" s="16" t="str">
        <f t="shared" si="1"/>
        <v>Mike Bialczak2</v>
      </c>
      <c r="D36" s="16">
        <v>6</v>
      </c>
      <c r="E36" t="str">
        <f>+'Stage  Entry'!AQ8</f>
        <v>Mike Bialczak</v>
      </c>
      <c r="F36" s="138">
        <f>+'Stage  Entry'!AR8</f>
        <v>0.008344907407407409</v>
      </c>
      <c r="G36" s="17">
        <f>+Dist6</f>
        <v>3.25</v>
      </c>
    </row>
    <row r="37" spans="1:7" ht="12.75">
      <c r="A37" s="16">
        <f>COUNTIF(E$2:E37,E37)</f>
        <v>2</v>
      </c>
      <c r="B37" s="16">
        <v>1</v>
      </c>
      <c r="C37" s="16" t="str">
        <f t="shared" si="1"/>
        <v>Glenn Goodman2</v>
      </c>
      <c r="D37" s="16">
        <v>7</v>
      </c>
      <c r="E37" t="str">
        <f>+'Stage  Entry'!AV4</f>
        <v>Glenn Goodman</v>
      </c>
      <c r="F37" s="138">
        <f>+'Stage  Entry'!AW4</f>
        <v>0.009745370370370371</v>
      </c>
      <c r="G37" s="17">
        <f>+Dist7</f>
        <v>3.7</v>
      </c>
    </row>
    <row r="38" spans="1:7" ht="12.75">
      <c r="A38" s="16">
        <f>COUNTIF(E$2:E38,E38)</f>
        <v>2</v>
      </c>
      <c r="B38" s="16">
        <v>2</v>
      </c>
      <c r="C38" s="16" t="str">
        <f t="shared" si="1"/>
        <v>Craig Harris2</v>
      </c>
      <c r="D38" s="16">
        <v>7</v>
      </c>
      <c r="E38" t="str">
        <f>+'Stage  Entry'!AV5</f>
        <v>Craig Harris</v>
      </c>
      <c r="F38" s="138">
        <f>+'Stage  Entry'!AW5</f>
        <v>0.00962962962962963</v>
      </c>
      <c r="G38" s="17">
        <f>+Dist7</f>
        <v>3.7</v>
      </c>
    </row>
    <row r="39" spans="1:7" ht="12.75">
      <c r="A39" s="16">
        <f>COUNTIF(E$2:E39,E39)</f>
        <v>2</v>
      </c>
      <c r="B39" s="16">
        <v>3</v>
      </c>
      <c r="C39" s="16" t="str">
        <f t="shared" si="1"/>
        <v>Gary O'Dwyer2</v>
      </c>
      <c r="D39" s="16">
        <v>7</v>
      </c>
      <c r="E39" t="str">
        <f>+'Stage  Entry'!AV6</f>
        <v>Gary O'Dwyer</v>
      </c>
      <c r="F39" s="138">
        <f>+'Stage  Entry'!AW6</f>
        <v>0.009791666666666666</v>
      </c>
      <c r="G39" s="17">
        <f>+Dist7</f>
        <v>3.7</v>
      </c>
    </row>
    <row r="40" spans="1:7" ht="12.75">
      <c r="A40" s="16">
        <f>COUNTIF(E$2:E40,E40)</f>
        <v>2</v>
      </c>
      <c r="B40" s="16">
        <v>4</v>
      </c>
      <c r="C40" s="16" t="str">
        <f t="shared" si="1"/>
        <v>Sean McGaughey2</v>
      </c>
      <c r="D40" s="16">
        <v>7</v>
      </c>
      <c r="E40" t="str">
        <f>+'Stage  Entry'!AV7</f>
        <v>Sean McGaughey</v>
      </c>
      <c r="F40" s="138">
        <f>+'Stage  Entry'!AW7</f>
        <v>0.010439814814814813</v>
      </c>
      <c r="G40" s="17">
        <f>+Dist7</f>
        <v>3.7</v>
      </c>
    </row>
    <row r="41" spans="1:7" ht="12.75">
      <c r="A41" s="16">
        <f>COUNTIF(E$2:E41,E41)</f>
        <v>2</v>
      </c>
      <c r="B41" s="16">
        <v>5</v>
      </c>
      <c r="C41" s="16" t="str">
        <f t="shared" si="1"/>
        <v>Chris Osborne2</v>
      </c>
      <c r="D41" s="16">
        <v>7</v>
      </c>
      <c r="E41" t="str">
        <f>+'Stage  Entry'!AV8</f>
        <v>Chris Osborne</v>
      </c>
      <c r="F41" s="138">
        <f>+'Stage  Entry'!AW8</f>
        <v>0.010335648148148148</v>
      </c>
      <c r="G41" s="17">
        <f>+Dist7</f>
        <v>3.7</v>
      </c>
    </row>
    <row r="42" spans="1:7" ht="12.75">
      <c r="A42" s="16">
        <f>COUNTIF(E$2:E42,E42)</f>
        <v>3</v>
      </c>
      <c r="B42" s="16">
        <v>1</v>
      </c>
      <c r="C42" s="16" t="str">
        <f t="shared" si="1"/>
        <v>Glenn Goodman3</v>
      </c>
      <c r="D42" s="16" t="s">
        <v>52</v>
      </c>
      <c r="E42" t="str">
        <f>+'Stage  Entry'!H12</f>
        <v>Glenn Goodman</v>
      </c>
      <c r="F42" s="138">
        <f>+'Stage  Entry'!I12</f>
        <v>0.008206018518518519</v>
      </c>
      <c r="G42" s="17">
        <f aca="true" t="shared" si="2" ref="G42:G51">+Dist8</f>
        <v>3</v>
      </c>
    </row>
    <row r="43" spans="1:7" ht="12.75">
      <c r="A43" s="16">
        <f>COUNTIF(E$2:E43,E43)</f>
        <v>3</v>
      </c>
      <c r="B43" s="16">
        <v>2</v>
      </c>
      <c r="C43" s="16" t="str">
        <f t="shared" si="1"/>
        <v>Craig Harris3</v>
      </c>
      <c r="D43" s="16" t="s">
        <v>52</v>
      </c>
      <c r="E43" t="str">
        <f>+'Stage  Entry'!H13</f>
        <v>Craig Harris</v>
      </c>
      <c r="F43" s="138">
        <f>+'Stage  Entry'!I13</f>
        <v>0.008275462962962962</v>
      </c>
      <c r="G43" s="17">
        <f t="shared" si="2"/>
        <v>3</v>
      </c>
    </row>
    <row r="44" spans="1:7" ht="12.75">
      <c r="A44" s="16">
        <f>COUNTIF(E$2:E44,E44)</f>
        <v>3</v>
      </c>
      <c r="B44" s="16">
        <v>3</v>
      </c>
      <c r="C44" s="16" t="str">
        <f t="shared" si="1"/>
        <v>Gary O'Dwyer3</v>
      </c>
      <c r="D44" s="16" t="s">
        <v>52</v>
      </c>
      <c r="E44" t="str">
        <f>+'Stage  Entry'!H14</f>
        <v>Gary O'Dwyer</v>
      </c>
      <c r="F44" s="138">
        <f>+'Stage  Entry'!I14</f>
        <v>0.00875</v>
      </c>
      <c r="G44" s="17">
        <f t="shared" si="2"/>
        <v>3</v>
      </c>
    </row>
    <row r="45" spans="1:7" ht="12.75">
      <c r="A45" s="16">
        <f>COUNTIF(E$2:E45,E45)</f>
        <v>3</v>
      </c>
      <c r="B45" s="16">
        <v>4</v>
      </c>
      <c r="C45" s="16" t="str">
        <f t="shared" si="1"/>
        <v>Luke Grima3</v>
      </c>
      <c r="D45" s="16" t="s">
        <v>52</v>
      </c>
      <c r="E45" t="str">
        <f>+'Stage  Entry'!H15</f>
        <v>Luke Grima</v>
      </c>
      <c r="F45" s="138">
        <f>+'Stage  Entry'!I15</f>
        <v>0.00832175925925926</v>
      </c>
      <c r="G45" s="17">
        <f t="shared" si="2"/>
        <v>3</v>
      </c>
    </row>
    <row r="46" spans="1:7" ht="12.75">
      <c r="A46" s="16">
        <f>COUNTIF(E$2:E46,E46)</f>
        <v>3</v>
      </c>
      <c r="B46" s="16">
        <v>5</v>
      </c>
      <c r="C46" s="16" t="str">
        <f t="shared" si="1"/>
        <v>Chris Osborne3</v>
      </c>
      <c r="D46" s="16" t="s">
        <v>52</v>
      </c>
      <c r="E46" t="str">
        <f>+'Stage  Entry'!H16</f>
        <v>Chris Osborne</v>
      </c>
      <c r="F46" s="138">
        <f>+'Stage  Entry'!I16</f>
        <v>0.008657407407407407</v>
      </c>
      <c r="G46" s="17">
        <f t="shared" si="2"/>
        <v>3</v>
      </c>
    </row>
    <row r="47" spans="1:7" ht="12.75">
      <c r="A47" s="16">
        <f>COUNTIF(E$2:E47,E47)</f>
        <v>3</v>
      </c>
      <c r="B47" s="16">
        <v>1</v>
      </c>
      <c r="C47" s="16" t="str">
        <f t="shared" si="1"/>
        <v>Jim Grelis3</v>
      </c>
      <c r="D47" s="16" t="s">
        <v>53</v>
      </c>
      <c r="E47" t="str">
        <f>+'Stage  Entry'!M12</f>
        <v>Jim Grelis</v>
      </c>
      <c r="F47" s="138">
        <f>+'Stage  Entry'!N12</f>
        <v>0.009351851851851853</v>
      </c>
      <c r="G47" s="17">
        <f t="shared" si="2"/>
        <v>3</v>
      </c>
    </row>
    <row r="48" spans="1:7" ht="12.75">
      <c r="A48" s="16">
        <f>COUNTIF(E$2:E48,E48)</f>
        <v>3</v>
      </c>
      <c r="B48" s="16">
        <v>2</v>
      </c>
      <c r="C48" s="16" t="str">
        <f t="shared" si="1"/>
        <v>Col Marson3</v>
      </c>
      <c r="D48" s="16" t="s">
        <v>53</v>
      </c>
      <c r="E48" t="str">
        <f>+'Stage  Entry'!M13</f>
        <v>Col Marson</v>
      </c>
      <c r="F48" s="138">
        <f>+'Stage  Entry'!N13</f>
        <v>0.008796296296296297</v>
      </c>
      <c r="G48" s="17">
        <f t="shared" si="2"/>
        <v>3</v>
      </c>
    </row>
    <row r="49" spans="1:7" ht="12.75">
      <c r="A49" s="16">
        <f>COUNTIF(E$2:E49,E49)</f>
        <v>3</v>
      </c>
      <c r="B49" s="16">
        <v>3</v>
      </c>
      <c r="C49" s="16" t="str">
        <f aca="true" t="shared" si="3" ref="C49:C81">E49&amp;A49</f>
        <v>Luke Goodman3</v>
      </c>
      <c r="D49" s="16" t="s">
        <v>53</v>
      </c>
      <c r="E49" t="str">
        <f>+'Stage  Entry'!M14</f>
        <v>Luke Goodman</v>
      </c>
      <c r="F49" s="138">
        <f>+'Stage  Entry'!N14</f>
        <v>0.008553240740740741</v>
      </c>
      <c r="G49" s="17">
        <f t="shared" si="2"/>
        <v>3</v>
      </c>
    </row>
    <row r="50" spans="1:7" ht="12.75">
      <c r="A50" s="16">
        <f>COUNTIF(E$2:E50,E50)</f>
        <v>3</v>
      </c>
      <c r="B50" s="16">
        <v>4</v>
      </c>
      <c r="C50" s="16" t="str">
        <f t="shared" si="3"/>
        <v>Sean McGaughey3</v>
      </c>
      <c r="D50" s="16" t="s">
        <v>53</v>
      </c>
      <c r="E50" t="str">
        <f>+'Stage  Entry'!M15</f>
        <v>Sean McGaughey</v>
      </c>
      <c r="F50" s="138">
        <f>+'Stage  Entry'!N15</f>
        <v>0.008553240740740741</v>
      </c>
      <c r="G50" s="17">
        <f t="shared" si="2"/>
        <v>3</v>
      </c>
    </row>
    <row r="51" spans="1:7" ht="12.75">
      <c r="A51" s="16">
        <f>COUNTIF(E$2:E51,E51)</f>
        <v>3</v>
      </c>
      <c r="B51" s="16">
        <v>5</v>
      </c>
      <c r="C51" s="16" t="str">
        <f t="shared" si="3"/>
        <v>Mike Bialczak3</v>
      </c>
      <c r="D51" s="16" t="s">
        <v>53</v>
      </c>
      <c r="E51" t="str">
        <f>+'Stage  Entry'!M16</f>
        <v>Mike Bialczak</v>
      </c>
      <c r="F51" s="138">
        <f>+'Stage  Entry'!N16</f>
        <v>0.008125</v>
      </c>
      <c r="G51" s="17">
        <f t="shared" si="2"/>
        <v>3</v>
      </c>
    </row>
    <row r="52" spans="1:7" ht="12.75">
      <c r="A52" s="16">
        <f>COUNTIF(E$2:E52,E52)</f>
        <v>3</v>
      </c>
      <c r="B52" s="16">
        <v>1</v>
      </c>
      <c r="C52" s="16" t="str">
        <f t="shared" si="3"/>
        <v>Stephen Paine3</v>
      </c>
      <c r="D52" s="16">
        <v>9</v>
      </c>
      <c r="E52" t="str">
        <f>+'Stage  Entry'!W12</f>
        <v>Stephen Paine</v>
      </c>
      <c r="F52" s="138">
        <f>+'Stage  Entry'!X12</f>
        <v>0.00954861111111111</v>
      </c>
      <c r="G52" s="17">
        <f>+Dist9</f>
        <v>3.6</v>
      </c>
    </row>
    <row r="53" spans="1:7" ht="12.75">
      <c r="A53" s="16">
        <f>COUNTIF(E$2:E53,E53)</f>
        <v>3</v>
      </c>
      <c r="B53" s="16">
        <v>2</v>
      </c>
      <c r="C53" s="16" t="str">
        <f t="shared" si="3"/>
        <v>Simon Bevage3</v>
      </c>
      <c r="D53" s="16">
        <v>9</v>
      </c>
      <c r="E53" t="str">
        <f>+'Stage  Entry'!W13</f>
        <v>Simon Bevage</v>
      </c>
      <c r="F53" s="138">
        <f>+'Stage  Entry'!X13</f>
        <v>0.00980324074074074</v>
      </c>
      <c r="G53" s="17">
        <f>+Dist9</f>
        <v>3.6</v>
      </c>
    </row>
    <row r="54" spans="1:7" ht="12.75">
      <c r="A54" s="16">
        <f>COUNTIF(E$2:E54,E54)</f>
        <v>3</v>
      </c>
      <c r="B54" s="16">
        <v>3</v>
      </c>
      <c r="C54" s="16" t="str">
        <f t="shared" si="3"/>
        <v>Patrick O'Keefe3</v>
      </c>
      <c r="D54" s="16">
        <v>9</v>
      </c>
      <c r="E54" t="str">
        <f>+'Stage  Entry'!W14</f>
        <v>Patrick O'Keefe</v>
      </c>
      <c r="F54" s="138">
        <f>+'Stage  Entry'!X14</f>
        <v>0.010011574074074074</v>
      </c>
      <c r="G54" s="17">
        <f>+Dist9</f>
        <v>3.6</v>
      </c>
    </row>
    <row r="55" spans="1:7" ht="12.75">
      <c r="A55" s="16">
        <f>COUNTIF(E$2:E55,E55)</f>
        <v>3</v>
      </c>
      <c r="B55" s="16">
        <v>4</v>
      </c>
      <c r="C55" s="16" t="str">
        <f t="shared" si="3"/>
        <v>Anthony Lee3</v>
      </c>
      <c r="D55" s="16">
        <v>9</v>
      </c>
      <c r="E55" t="str">
        <f>+'Stage  Entry'!W15</f>
        <v>Anthony Lee</v>
      </c>
      <c r="F55" s="138">
        <f>+'Stage  Entry'!X15</f>
        <v>0.01017361111111111</v>
      </c>
      <c r="G55" s="17">
        <f>+Dist9</f>
        <v>3.6</v>
      </c>
    </row>
    <row r="56" spans="1:7" ht="12.75">
      <c r="A56" s="16">
        <f>COUNTIF(E$2:E56,E56)</f>
        <v>3</v>
      </c>
      <c r="B56" s="16">
        <v>5</v>
      </c>
      <c r="C56" s="16" t="str">
        <f t="shared" si="3"/>
        <v>Anthony Mithen3</v>
      </c>
      <c r="D56" s="16">
        <v>9</v>
      </c>
      <c r="E56" t="str">
        <f>+'Stage  Entry'!W16</f>
        <v>Anthony Mithen</v>
      </c>
      <c r="F56" s="138">
        <f>+'Stage  Entry'!X16</f>
        <v>0.010949074074074075</v>
      </c>
      <c r="G56" s="17">
        <f>+Dist9</f>
        <v>3.6</v>
      </c>
    </row>
    <row r="57" spans="1:7" ht="12.75">
      <c r="A57" s="16">
        <f>COUNTIF(E$2:E57,E57)</f>
        <v>3</v>
      </c>
      <c r="B57" s="16">
        <v>1</v>
      </c>
      <c r="C57" s="16" t="str">
        <f t="shared" si="3"/>
        <v>Paul Marsh3</v>
      </c>
      <c r="D57" s="16">
        <v>10</v>
      </c>
      <c r="E57" t="str">
        <f>+'Stage  Entry'!AB12</f>
        <v>Paul Marsh</v>
      </c>
      <c r="F57" s="138">
        <f>+'Stage  Entry'!AC12</f>
        <v>0.011574074074074075</v>
      </c>
      <c r="G57" s="17">
        <f>+Dist10</f>
        <v>4.45</v>
      </c>
    </row>
    <row r="58" spans="1:7" ht="12.75">
      <c r="A58" s="16">
        <f>COUNTIF(E$2:E58,E58)</f>
        <v>3</v>
      </c>
      <c r="B58" s="16">
        <v>2</v>
      </c>
      <c r="C58" s="16" t="str">
        <f t="shared" si="3"/>
        <v>Matt Sandilands3</v>
      </c>
      <c r="D58" s="16">
        <v>10</v>
      </c>
      <c r="E58" t="str">
        <f>+'Stage  Entry'!AB13</f>
        <v>Matt Sandilands</v>
      </c>
      <c r="F58" s="138">
        <f>+'Stage  Entry'!AC13</f>
        <v>0.011967592592592592</v>
      </c>
      <c r="G58" s="17">
        <f>+Dist10</f>
        <v>4.45</v>
      </c>
    </row>
    <row r="59" spans="1:7" ht="12.75">
      <c r="A59" s="16">
        <f>COUNTIF(E$2:E59,E59)</f>
        <v>3</v>
      </c>
      <c r="B59" s="16">
        <v>3</v>
      </c>
      <c r="C59" s="16" t="str">
        <f t="shared" si="3"/>
        <v>David Venour3</v>
      </c>
      <c r="D59" s="16">
        <v>10</v>
      </c>
      <c r="E59" t="str">
        <f>+'Stage  Entry'!AB14</f>
        <v>David Venour</v>
      </c>
      <c r="F59" s="138">
        <f>+'Stage  Entry'!AC14</f>
        <v>0.010243055555555556</v>
      </c>
      <c r="G59" s="17">
        <f>+Dist10</f>
        <v>4.45</v>
      </c>
    </row>
    <row r="60" spans="1:7" ht="12.75">
      <c r="A60" s="16">
        <f>COUNTIF(E$2:E60,E60)</f>
        <v>3</v>
      </c>
      <c r="B60" s="16">
        <v>4</v>
      </c>
      <c r="C60" s="16" t="str">
        <f t="shared" si="3"/>
        <v>Troy Williams3</v>
      </c>
      <c r="D60" s="16">
        <v>10</v>
      </c>
      <c r="E60" t="str">
        <f>+'Stage  Entry'!AB15</f>
        <v>Troy Williams</v>
      </c>
      <c r="F60" s="138">
        <f>+'Stage  Entry'!AC15</f>
        <v>0.01005787037037037</v>
      </c>
      <c r="G60" s="17">
        <f>+Dist10</f>
        <v>4.45</v>
      </c>
    </row>
    <row r="61" spans="1:7" ht="12.75">
      <c r="A61" s="16">
        <f>COUNTIF(E$2:E61,E61)</f>
        <v>3</v>
      </c>
      <c r="B61" s="16">
        <v>5</v>
      </c>
      <c r="C61" s="16" t="str">
        <f t="shared" si="3"/>
        <v>Anthony Weiland3</v>
      </c>
      <c r="D61" s="16">
        <v>10</v>
      </c>
      <c r="E61" t="str">
        <f>+'Stage  Entry'!AB16</f>
        <v>Anthony Weiland</v>
      </c>
      <c r="F61" s="138">
        <f>+'Stage  Entry'!AC16</f>
        <v>0.010868055555555556</v>
      </c>
      <c r="G61" s="17">
        <f>+Dist10</f>
        <v>4.45</v>
      </c>
    </row>
    <row r="62" spans="1:7" ht="12.75">
      <c r="A62" s="16">
        <f>COUNTIF(E$2:E62,E62)</f>
        <v>4</v>
      </c>
      <c r="B62" s="16">
        <v>1</v>
      </c>
      <c r="C62" s="16" t="str">
        <f t="shared" si="3"/>
        <v>Glenn Goodman4</v>
      </c>
      <c r="D62" s="16">
        <v>11</v>
      </c>
      <c r="E62" t="str">
        <f>+'Stage  Entry'!AG12</f>
        <v>Glenn Goodman</v>
      </c>
      <c r="F62" s="138">
        <f>+'Stage  Entry'!AH12</f>
        <v>0.010381944444444444</v>
      </c>
      <c r="G62" s="17">
        <f>+Dist11</f>
        <v>4</v>
      </c>
    </row>
    <row r="63" spans="1:7" ht="12.75">
      <c r="A63" s="16">
        <f>COUNTIF(E$2:E63,E63)</f>
        <v>4</v>
      </c>
      <c r="B63" s="16">
        <v>2</v>
      </c>
      <c r="C63" s="16" t="str">
        <f t="shared" si="3"/>
        <v>Craig Harris4</v>
      </c>
      <c r="D63" s="16">
        <v>11</v>
      </c>
      <c r="E63" t="str">
        <f>+'Stage  Entry'!AG13</f>
        <v>Craig Harris</v>
      </c>
      <c r="F63" s="138">
        <f>+'Stage  Entry'!AH13</f>
        <v>0.010138888888888888</v>
      </c>
      <c r="G63" s="17">
        <f>+Dist11</f>
        <v>4</v>
      </c>
    </row>
    <row r="64" spans="1:7" ht="12.75">
      <c r="A64" s="16">
        <f>COUNTIF(E$2:E64,E64)</f>
        <v>4</v>
      </c>
      <c r="B64" s="16">
        <v>3</v>
      </c>
      <c r="C64" s="16" t="str">
        <f t="shared" si="3"/>
        <v>Gary O'Dwyer4</v>
      </c>
      <c r="D64" s="16">
        <v>11</v>
      </c>
      <c r="E64" t="str">
        <f>+'Stage  Entry'!AG14</f>
        <v>Gary O'Dwyer</v>
      </c>
      <c r="F64" s="138">
        <f>+'Stage  Entry'!AH14</f>
        <v>0.010289351851851852</v>
      </c>
      <c r="G64" s="17">
        <f>+Dist11</f>
        <v>4</v>
      </c>
    </row>
    <row r="65" spans="1:7" ht="12.75">
      <c r="A65" s="16">
        <f>COUNTIF(E$2:E65,E65)</f>
        <v>4</v>
      </c>
      <c r="B65" s="16">
        <v>4</v>
      </c>
      <c r="C65" s="16" t="str">
        <f t="shared" si="3"/>
        <v>Luke Grima4</v>
      </c>
      <c r="D65" s="16">
        <v>11</v>
      </c>
      <c r="E65" t="str">
        <f>+'Stage  Entry'!AG15</f>
        <v>Luke Grima</v>
      </c>
      <c r="F65" s="138">
        <f>+'Stage  Entry'!AH15</f>
        <v>0.010219907407407408</v>
      </c>
      <c r="G65" s="17">
        <f>+Dist11</f>
        <v>4</v>
      </c>
    </row>
    <row r="66" spans="1:7" ht="12.75">
      <c r="A66" s="16">
        <f>COUNTIF(E$2:E66,E66)</f>
        <v>4</v>
      </c>
      <c r="B66" s="16">
        <v>5</v>
      </c>
      <c r="C66" s="16" t="str">
        <f t="shared" si="3"/>
        <v>Chris Osborne4</v>
      </c>
      <c r="D66" s="16">
        <v>11</v>
      </c>
      <c r="E66" t="str">
        <f>+'Stage  Entry'!AG16</f>
        <v>Chris Osborne</v>
      </c>
      <c r="F66" s="138">
        <f>+'Stage  Entry'!AH16</f>
        <v>0.010949074074074075</v>
      </c>
      <c r="G66" s="17">
        <f>+Dist11</f>
        <v>4</v>
      </c>
    </row>
    <row r="67" spans="1:7" ht="12.75">
      <c r="A67" s="16">
        <f>COUNTIF(E$2:E67,E67)</f>
        <v>4</v>
      </c>
      <c r="B67" s="16">
        <v>1</v>
      </c>
      <c r="C67" s="16" t="str">
        <f t="shared" si="3"/>
        <v>Stephen Paine4</v>
      </c>
      <c r="D67" s="16">
        <v>12</v>
      </c>
      <c r="E67" t="str">
        <f>+'Stage  Entry'!AL12</f>
        <v>Stephen Paine</v>
      </c>
      <c r="F67" s="138">
        <f>+'Stage  Entry'!AM12</f>
        <v>0.009768518518518518</v>
      </c>
      <c r="G67" s="17">
        <f>+Dist12</f>
        <v>4</v>
      </c>
    </row>
    <row r="68" spans="1:7" ht="12.75">
      <c r="A68" s="16">
        <f>COUNTIF(E$2:E68,E68)</f>
        <v>4</v>
      </c>
      <c r="B68" s="16">
        <v>2</v>
      </c>
      <c r="C68" s="16" t="str">
        <f t="shared" si="3"/>
        <v>Col Marson4</v>
      </c>
      <c r="D68" s="16">
        <v>12</v>
      </c>
      <c r="E68" t="str">
        <f>+'Stage  Entry'!AL13</f>
        <v>Col Marson</v>
      </c>
      <c r="F68" s="138">
        <f>+'Stage  Entry'!AM13</f>
        <v>0.012847222222222223</v>
      </c>
      <c r="G68" s="17">
        <f>+Dist12</f>
        <v>4</v>
      </c>
    </row>
    <row r="69" spans="1:7" ht="12.75">
      <c r="A69" s="16">
        <f>COUNTIF(E$2:E69,E69)</f>
        <v>4</v>
      </c>
      <c r="B69" s="16">
        <v>3</v>
      </c>
      <c r="C69" s="16" t="str">
        <f t="shared" si="3"/>
        <v>Patrick O'Keefe4</v>
      </c>
      <c r="D69" s="16">
        <v>12</v>
      </c>
      <c r="E69" t="str">
        <f>+'Stage  Entry'!AL14</f>
        <v>Patrick O'Keefe</v>
      </c>
      <c r="F69" s="138">
        <f>+'Stage  Entry'!AM14</f>
        <v>0.010659722222222221</v>
      </c>
      <c r="G69" s="17">
        <f>+Dist12</f>
        <v>4</v>
      </c>
    </row>
    <row r="70" spans="1:7" ht="12.75">
      <c r="A70" s="16">
        <f>COUNTIF(E$2:E70,E70)</f>
        <v>4</v>
      </c>
      <c r="B70" s="16">
        <v>4</v>
      </c>
      <c r="C70" s="16" t="str">
        <f t="shared" si="3"/>
        <v>Anthony Lee4</v>
      </c>
      <c r="D70" s="16">
        <v>12</v>
      </c>
      <c r="E70" t="str">
        <f>+'Stage  Entry'!AL15</f>
        <v>Anthony Lee</v>
      </c>
      <c r="F70" s="138">
        <f>+'Stage  Entry'!AM15</f>
        <v>0.010601851851851854</v>
      </c>
      <c r="G70" s="17">
        <f>+Dist12</f>
        <v>4</v>
      </c>
    </row>
    <row r="71" spans="1:7" ht="12.75">
      <c r="A71" s="16">
        <f>COUNTIF(E$2:E71,E71)</f>
        <v>4</v>
      </c>
      <c r="B71" s="16">
        <v>5</v>
      </c>
      <c r="C71" s="16" t="str">
        <f t="shared" si="3"/>
        <v>Anthony Mithen4</v>
      </c>
      <c r="D71" s="16">
        <v>12</v>
      </c>
      <c r="E71" t="str">
        <f>+'Stage  Entry'!AL16</f>
        <v>Anthony Mithen</v>
      </c>
      <c r="F71" s="138">
        <f>+'Stage  Entry'!AM16</f>
        <v>0.012083333333333333</v>
      </c>
      <c r="G71" s="17">
        <f>+Dist12</f>
        <v>4</v>
      </c>
    </row>
    <row r="72" spans="1:7" ht="12.75">
      <c r="A72" s="16">
        <f>COUNTIF(E$2:E72,E72)</f>
        <v>4</v>
      </c>
      <c r="B72" s="16">
        <v>1</v>
      </c>
      <c r="C72" s="16" t="str">
        <f t="shared" si="3"/>
        <v>Paul Marsh4</v>
      </c>
      <c r="D72" s="16">
        <v>13</v>
      </c>
      <c r="E72" t="str">
        <f>+'Stage  Entry'!AQ12</f>
        <v>Paul Marsh</v>
      </c>
      <c r="F72" s="138">
        <f>+'Stage  Entry'!AR12</f>
        <v>0.012233796296296296</v>
      </c>
      <c r="G72" s="17">
        <f>+Dist13</f>
        <v>4.5</v>
      </c>
    </row>
    <row r="73" spans="1:7" ht="12.75">
      <c r="A73" s="16">
        <f>COUNTIF(E$2:E73,E73)</f>
        <v>4</v>
      </c>
      <c r="B73" s="16">
        <v>2</v>
      </c>
      <c r="C73" s="16" t="str">
        <f t="shared" si="3"/>
        <v>Simon Bevage4</v>
      </c>
      <c r="D73" s="16">
        <v>13</v>
      </c>
      <c r="E73" t="str">
        <f>+'Stage  Entry'!AQ13</f>
        <v>Simon Bevage</v>
      </c>
      <c r="F73" s="138">
        <f>+'Stage  Entry'!AR13</f>
        <v>0.010416666666666666</v>
      </c>
      <c r="G73" s="17">
        <f>+Dist13</f>
        <v>4.5</v>
      </c>
    </row>
    <row r="74" spans="1:7" ht="12.75">
      <c r="A74" s="16">
        <f>COUNTIF(E$2:E74,E74)</f>
        <v>4</v>
      </c>
      <c r="B74" s="16">
        <v>3</v>
      </c>
      <c r="C74" s="16" t="str">
        <f t="shared" si="3"/>
        <v>David Venour4</v>
      </c>
      <c r="D74" s="16">
        <v>13</v>
      </c>
      <c r="E74" t="str">
        <f>+'Stage  Entry'!AQ14</f>
        <v>David Venour</v>
      </c>
      <c r="F74" s="138">
        <f>+'Stage  Entry'!AR14</f>
        <v>0.010636574074074074</v>
      </c>
      <c r="G74" s="17">
        <f>+Dist13</f>
        <v>4.5</v>
      </c>
    </row>
    <row r="75" spans="1:7" ht="12.75">
      <c r="A75" s="16">
        <f>COUNTIF(E$2:E75,E75)</f>
        <v>4</v>
      </c>
      <c r="B75" s="16">
        <v>4</v>
      </c>
      <c r="C75" s="16" t="str">
        <f t="shared" si="3"/>
        <v>Troy Williams4</v>
      </c>
      <c r="D75" s="16">
        <v>13</v>
      </c>
      <c r="E75" t="str">
        <f>+'Stage  Entry'!AQ15</f>
        <v>Troy Williams</v>
      </c>
      <c r="F75" s="138">
        <f>+'Stage  Entry'!AR15</f>
        <v>0.010335648148148148</v>
      </c>
      <c r="G75" s="17">
        <f>+Dist13</f>
        <v>4.5</v>
      </c>
    </row>
    <row r="76" spans="1:7" ht="12.75">
      <c r="A76" s="16">
        <f>COUNTIF(E$2:E76,E76)</f>
        <v>4</v>
      </c>
      <c r="B76" s="16">
        <v>5</v>
      </c>
      <c r="C76" s="16" t="str">
        <f t="shared" si="3"/>
        <v>Anthony Weiland4</v>
      </c>
      <c r="D76" s="16">
        <v>13</v>
      </c>
      <c r="E76" t="str">
        <f>+'Stage  Entry'!AQ16</f>
        <v>Anthony Weiland</v>
      </c>
      <c r="F76" s="138">
        <f>+'Stage  Entry'!AR16</f>
        <v>0.011157407407407408</v>
      </c>
      <c r="G76" s="17">
        <f>+Dist13</f>
        <v>4.5</v>
      </c>
    </row>
    <row r="77" spans="1:7" ht="12.75">
      <c r="A77" s="16">
        <f>COUNTIF(E$2:E77,E77)</f>
        <v>4</v>
      </c>
      <c r="B77" s="16">
        <v>1</v>
      </c>
      <c r="C77" s="16" t="str">
        <f t="shared" si="3"/>
        <v>Jim Grelis4</v>
      </c>
      <c r="D77" s="16">
        <v>14</v>
      </c>
      <c r="E77" t="str">
        <f>+'Stage  Entry'!AV12</f>
        <v>Jim Grelis</v>
      </c>
      <c r="F77" s="138">
        <f>+'Stage  Entry'!AW12</f>
        <v>0.010208333333333333</v>
      </c>
      <c r="G77" s="17">
        <f>+Dist14</f>
        <v>3.7</v>
      </c>
    </row>
    <row r="78" spans="1:7" ht="12.75">
      <c r="A78" s="16">
        <f>COUNTIF(E$2:E78,E78)</f>
        <v>4</v>
      </c>
      <c r="B78" s="16">
        <v>2</v>
      </c>
      <c r="C78" s="16" t="str">
        <f t="shared" si="3"/>
        <v>Matt Sandilands4</v>
      </c>
      <c r="D78" s="16">
        <v>14</v>
      </c>
      <c r="E78" t="str">
        <f>+'Stage  Entry'!AV13</f>
        <v>Matt Sandilands</v>
      </c>
      <c r="F78" s="138">
        <f>+'Stage  Entry'!AW13</f>
        <v>0.008877314814814815</v>
      </c>
      <c r="G78" s="17">
        <f>+Dist14</f>
        <v>3.7</v>
      </c>
    </row>
    <row r="79" spans="1:7" ht="12.75">
      <c r="A79" s="16">
        <f>COUNTIF(E$2:E79,E79)</f>
        <v>4</v>
      </c>
      <c r="B79" s="16">
        <v>3</v>
      </c>
      <c r="C79" s="16" t="str">
        <f t="shared" si="3"/>
        <v>Luke Goodman4</v>
      </c>
      <c r="D79" s="16">
        <v>14</v>
      </c>
      <c r="E79" t="str">
        <f>+'Stage  Entry'!AV14</f>
        <v>Luke Goodman</v>
      </c>
      <c r="F79" s="138">
        <f>+'Stage  Entry'!AW14</f>
        <v>0.00954861111111111</v>
      </c>
      <c r="G79" s="17">
        <f>+Dist14</f>
        <v>3.7</v>
      </c>
    </row>
    <row r="80" spans="1:7" ht="12.75">
      <c r="A80" s="16">
        <f>COUNTIF(E$2:E80,E80)</f>
        <v>4</v>
      </c>
      <c r="B80" s="16">
        <v>4</v>
      </c>
      <c r="C80" s="16" t="str">
        <f t="shared" si="3"/>
        <v>Sean McGaughey4</v>
      </c>
      <c r="D80" s="16">
        <v>14</v>
      </c>
      <c r="E80" t="str">
        <f>+'Stage  Entry'!AV15</f>
        <v>Sean McGaughey</v>
      </c>
      <c r="F80" s="138">
        <f>+'Stage  Entry'!AW15</f>
        <v>0.009930555555555555</v>
      </c>
      <c r="G80" s="17">
        <f>+Dist14</f>
        <v>3.7</v>
      </c>
    </row>
    <row r="81" spans="1:7" ht="12.75">
      <c r="A81" s="16">
        <f>COUNTIF(E$2:E81,E81)</f>
        <v>4</v>
      </c>
      <c r="B81" s="16">
        <v>5</v>
      </c>
      <c r="C81" s="16" t="str">
        <f t="shared" si="3"/>
        <v>Mike Bialczak4</v>
      </c>
      <c r="D81" s="16">
        <v>14</v>
      </c>
      <c r="E81" t="str">
        <f>+'Stage  Entry'!AV16</f>
        <v>Mike Bialczak</v>
      </c>
      <c r="F81" s="138">
        <f>+'Stage  Entry'!AW16</f>
        <v>0.010416666666666666</v>
      </c>
      <c r="G81" s="17">
        <f>+Dist14</f>
        <v>3.7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Clever Kooka</cp:lastModifiedBy>
  <cp:lastPrinted>2007-11-04T21:20:19Z</cp:lastPrinted>
  <dcterms:created xsi:type="dcterms:W3CDTF">2001-03-07T08:50:40Z</dcterms:created>
  <dcterms:modified xsi:type="dcterms:W3CDTF">2008-11-05T12:26:50Z</dcterms:modified>
  <cp:category/>
  <cp:version/>
  <cp:contentType/>
  <cp:contentStatus/>
</cp:coreProperties>
</file>